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PL 2016\EDITAIS\TOMADA DE PREÇO\Reforma elétrica para instalação aparelhos ar condicionado\"/>
    </mc:Choice>
  </mc:AlternateContent>
  <bookViews>
    <workbookView xWindow="240" yWindow="90" windowWidth="18195" windowHeight="11055" activeTab="2"/>
  </bookViews>
  <sheets>
    <sheet name="Planilha-Orç" sheetId="1" r:id="rId1"/>
    <sheet name="BDI" sheetId="4" r:id="rId2"/>
    <sheet name="Cronograma-físico-fin" sheetId="3" r:id="rId3"/>
  </sheets>
  <definedNames>
    <definedName name="_xlnm.Print_Area" localSheetId="0">'Planilha-Orç'!$A$6:$G$63</definedName>
  </definedNames>
  <calcPr calcId="152511"/>
</workbook>
</file>

<file path=xl/calcChain.xml><?xml version="1.0" encoding="utf-8"?>
<calcChain xmlns="http://schemas.openxmlformats.org/spreadsheetml/2006/main">
  <c r="F54" i="1" l="1"/>
  <c r="F52" i="1"/>
  <c r="F51" i="1"/>
  <c r="F50" i="1"/>
  <c r="F48" i="1"/>
  <c r="F45" i="1"/>
  <c r="F46" i="1"/>
  <c r="F44" i="1"/>
  <c r="F43" i="1"/>
  <c r="F42" i="1"/>
  <c r="F40" i="1"/>
  <c r="F39" i="1"/>
  <c r="F38" i="1"/>
  <c r="F37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H7" i="1" l="1"/>
  <c r="G73" i="1"/>
  <c r="G74" i="1"/>
  <c r="G75" i="1"/>
  <c r="G72" i="1"/>
  <c r="E75" i="1"/>
  <c r="E74" i="1"/>
  <c r="E73" i="1"/>
  <c r="E72" i="1"/>
  <c r="M13" i="3"/>
  <c r="F63" i="1"/>
  <c r="G41" i="4"/>
  <c r="G36" i="4"/>
  <c r="G28" i="4"/>
  <c r="E10" i="4"/>
  <c r="G59" i="1" l="1"/>
  <c r="G57" i="1"/>
  <c r="G32" i="1"/>
  <c r="G52" i="1"/>
  <c r="G8" i="1"/>
  <c r="G9" i="1"/>
  <c r="G56" i="1"/>
  <c r="G58" i="1"/>
  <c r="G61" i="1"/>
  <c r="H60" i="1" s="1"/>
  <c r="K10" i="3" s="1"/>
  <c r="K6" i="3" l="1"/>
  <c r="J6" i="3" s="1"/>
  <c r="H6" i="3"/>
  <c r="H55" i="1"/>
  <c r="K9" i="3" s="1"/>
  <c r="J9" i="3" s="1"/>
  <c r="H10" i="3"/>
  <c r="J10" i="3"/>
  <c r="G48" i="1"/>
  <c r="F6" i="3" l="1"/>
  <c r="D6" i="3"/>
  <c r="H9" i="3"/>
  <c r="F9" i="3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9" i="1"/>
  <c r="G50" i="1"/>
  <c r="G51" i="1"/>
  <c r="G19" i="1"/>
  <c r="G53" i="1"/>
  <c r="G54" i="1"/>
  <c r="G15" i="1"/>
  <c r="G16" i="1"/>
  <c r="G17" i="1"/>
  <c r="G18" i="1"/>
  <c r="G27" i="1"/>
  <c r="G28" i="1"/>
  <c r="G29" i="1"/>
  <c r="G30" i="1"/>
  <c r="G31" i="1"/>
  <c r="G33" i="1"/>
  <c r="G26" i="1" l="1"/>
  <c r="G12" i="1" l="1"/>
  <c r="G13" i="1"/>
  <c r="G14" i="1"/>
  <c r="G21" i="1"/>
  <c r="G22" i="1"/>
  <c r="G23" i="1"/>
  <c r="G24" i="1"/>
  <c r="G25" i="1"/>
  <c r="G11" i="1"/>
  <c r="H20" i="1" l="1"/>
  <c r="K8" i="3" s="1"/>
  <c r="H8" i="3" s="1"/>
  <c r="H10" i="1"/>
  <c r="K7" i="3" s="1"/>
  <c r="H7" i="3"/>
  <c r="D7" i="3"/>
  <c r="D16" i="3" s="1"/>
  <c r="G62" i="1"/>
  <c r="G63" i="1" s="1"/>
  <c r="H16" i="3" l="1"/>
  <c r="F8" i="3"/>
  <c r="J8" i="3"/>
  <c r="J16" i="3" s="1"/>
  <c r="K12" i="3"/>
  <c r="K13" i="3" s="1"/>
  <c r="C16" i="3" s="1"/>
  <c r="F7" i="3"/>
  <c r="D17" i="3"/>
  <c r="F16" i="3" l="1"/>
  <c r="E16" i="3" s="1"/>
  <c r="G16" i="3"/>
  <c r="I16" i="3"/>
  <c r="D22" i="3"/>
  <c r="C22" i="3" s="1"/>
  <c r="F22" i="3" s="1"/>
  <c r="C17" i="3"/>
  <c r="F17" i="3" l="1"/>
  <c r="H17" i="3" s="1"/>
  <c r="J17" i="3" s="1"/>
  <c r="I17" i="3" s="1"/>
  <c r="G17" i="3" l="1"/>
  <c r="D20" i="3"/>
  <c r="E20" i="3" s="1"/>
  <c r="E17" i="3"/>
  <c r="C20" i="3" s="1"/>
  <c r="C21" i="3" s="1"/>
  <c r="D21" i="3" s="1"/>
  <c r="F20" i="3" l="1"/>
  <c r="E21" i="3"/>
  <c r="E22" i="3" s="1"/>
</calcChain>
</file>

<file path=xl/sharedStrings.xml><?xml version="1.0" encoding="utf-8"?>
<sst xmlns="http://schemas.openxmlformats.org/spreadsheetml/2006/main" count="311" uniqueCount="210">
  <si>
    <t>ITEM</t>
  </si>
  <si>
    <t>DESCRIÇÃO</t>
  </si>
  <si>
    <t>UNITÁRIO</t>
  </si>
  <si>
    <t>TOTAL</t>
  </si>
  <si>
    <t>UNIDADE</t>
  </si>
  <si>
    <t>FITA ISOLANTE DE ALTA FUSÃO 23</t>
  </si>
  <si>
    <t>TUBO DE COBRE DE 5/8" PARA INSTALAÇÃO DE CONDICIONADORES DE AR TIPO SPLITS</t>
  </si>
  <si>
    <t>TUBO DE COBRE DE 3/8" PARA INSTALAÇÃO DE CONDICIONADORES DE AR TIPO SPLITS</t>
  </si>
  <si>
    <t>TUBO DE COBRE DE 1/4" PARA INSTALAÇÃO DE CONDICIONADORES DE AR TIPO SPLITS</t>
  </si>
  <si>
    <t>TUBO DE COBRE DE 1/2" PARA INSTALAÇÃO DE CONDICIONADORES DE AR TIPO SPLITS</t>
  </si>
  <si>
    <t>TUBO DE PVC COR MARROM DE 1/2" PARA UTILIZAÇÃO DE DRENO</t>
  </si>
  <si>
    <t>LUVAS DE PVC DE 1/2"</t>
  </si>
  <si>
    <t>CURVAS DE 45º PARA TUBO DE PVC DE 1/2"</t>
  </si>
  <si>
    <t>COLA PARA TUBOS DE PVC</t>
  </si>
  <si>
    <t>CANALETA DE REVESTIMENTO DE DRENO DE 50 X 2,5 mm COM TAMPA</t>
  </si>
  <si>
    <t>QUANTIDADE</t>
  </si>
  <si>
    <t>m</t>
  </si>
  <si>
    <t>unidade</t>
  </si>
  <si>
    <t>kg</t>
  </si>
  <si>
    <t>m²</t>
  </si>
  <si>
    <t>CABO DE COBRE NU, TÊMPERA MOLE, 16 mm² PARA ATERRAMENTO</t>
  </si>
  <si>
    <t>CABO TIPO PP DE COBRE ISOLADO PARA 600 V, BITOLA 2,5 mm² DE COR PRETO NÃO HALÓGENOS</t>
  </si>
  <si>
    <t>CAIXAS PLÁSTICAS DE 4 X 4 CM COMPOSTAS DE DISJUNTOR C20 A 5 kA, e TOMADAS 2P + T FÊMEAS</t>
  </si>
  <si>
    <t>CABO DE COBRE ISOLADO PARA 600 V, BITOLA 16 mm² DE COR PRETA NÃO HALÓGENOS, PARA ALIMENTAÇÃO DOS QUADROS DE DISTRIBUIÇÃO DOS CONDICIONADORES DE AR</t>
  </si>
  <si>
    <t>REVESTIMENTO ISOLANTE PARA TUBO DE COBRE DE DE 5/8"</t>
  </si>
  <si>
    <t>REVESTIMENTO ISOLANTE PARA TUBO DE COBRE DE DE 3/8"</t>
  </si>
  <si>
    <t>REVESTIMENTO ISOLANTE PARA TUBO DE COBRE DE DE 1/2"</t>
  </si>
  <si>
    <t/>
  </si>
  <si>
    <t>REVESTIMENTO ISOLANTE PARA TUBO DE COBRE DE DE 1/4"</t>
  </si>
  <si>
    <t>SINAPI</t>
  </si>
  <si>
    <t>89865</t>
  </si>
  <si>
    <t>89868</t>
  </si>
  <si>
    <t>89867</t>
  </si>
  <si>
    <t>QUADRO DE DISTRIBUIÇÃO PADRÃO IEC,  PARA COMPORTAR: 01 DISJUNTOR DE 70 A, CURVA TÉRMICA D, 12 DISJUNTORES BIFÁSICOS  DE 20 A CUVA TÉRMICA C, BARRAMENTO TRIPOLAR DE COBRE  CURVA TÉRMICA D, 12 DISJUNTORES BIFÁSICOS  DE 20 A CUVA TÉRMICA C, BARRAMENTO TRIPOLAR DE COBRE ELETROLÍTICO PARA 25 kA, 04 DPS DE 273 V 5 kA  E BARRAS DE ATERRAMENTO E NEUTRO. MEDIDAS 600 X 500 X 220 mm. DEVERÁ CONTER SUPORTE DE FIXAÇÃO DE DISJUNTORES DO TIPO DIN. FORNECIMENTO E INSTALAÇÃO (CONFORME PROJETO).</t>
  </si>
  <si>
    <t>72251</t>
  </si>
  <si>
    <t>pesquisa mercado</t>
  </si>
  <si>
    <t>SUPORTE DE AÇO PARA FIXAÇÃO DE CONDICIONADORES TIPO SPLIT COMPOSTO DE CANTONEIRAS DE 1/4" COM FURAÇÕES ESPECÍFICAS E TRATAMENTO COM PRIMER CONTRA CORROSÃO</t>
  </si>
  <si>
    <t>00000404</t>
  </si>
  <si>
    <t>00020111</t>
  </si>
  <si>
    <t>FITA ISOLANTE 33 (19mm x 20m)</t>
  </si>
  <si>
    <t>LUVA DE COBRE DE 5/8"</t>
  </si>
  <si>
    <t>LUVA DE COBRE DE 3/8"</t>
  </si>
  <si>
    <t>LUVA DE COBRE DE 1/4"</t>
  </si>
  <si>
    <t>LUVA DE COBRE DE 1/2"</t>
  </si>
  <si>
    <t>CURVA DE 45º PARA TUBO DE COBRE DE 5/8"</t>
  </si>
  <si>
    <t>CURVA DE 45º PARA TUBO DE COBRE DE 3/8"</t>
  </si>
  <si>
    <t>CURVA DE 45º PARA TUBO DE COBRE DE 1/4"</t>
  </si>
  <si>
    <t>CURVA DE 45º PARA TUBO DE COBRE DE 1/2"</t>
  </si>
  <si>
    <t>CURVA DE 90º PARA TUBO DE COBRE DE 5/8"</t>
  </si>
  <si>
    <t>CURVA DE 90º PARA TUBO DE COBRE DE 3/8"</t>
  </si>
  <si>
    <t>CURVA DE 90º PARA TUBO DE COBRE DE 1/4"</t>
  </si>
  <si>
    <t>CURVA DE 90º PARA TUBO DE COBRE DE 1/2"</t>
  </si>
  <si>
    <t>http://www.refrigeracaomarechal.com.br/grupo/43/ar+condicionado</t>
  </si>
  <si>
    <t>ABRAÇADEIRAS PARA TUBO DE PVC DE 1/2"</t>
  </si>
  <si>
    <t>CONJUNTO DE BUCHAS E PARAFUSOS S8 (PARA FIXAÇÕES DE CONDICIONADORES TIPO SPLITS)</t>
  </si>
  <si>
    <t>TOTAL GERAL SEM BDI</t>
  </si>
  <si>
    <t>TOTAL GERAL COM BDI</t>
  </si>
  <si>
    <t xml:space="preserve">LIMPEZA GERAL </t>
  </si>
  <si>
    <t>9537</t>
  </si>
  <si>
    <t>SOLDA PARA COBRE TIPO FOSCOPER</t>
  </si>
  <si>
    <t>91170</t>
  </si>
  <si>
    <t>89049</t>
  </si>
  <si>
    <t>REPAROS EM FORRO DE GESSO</t>
  </si>
  <si>
    <t>00007583</t>
  </si>
  <si>
    <t>SOLDA PRATA LÂMINA PARA COBRE</t>
  </si>
  <si>
    <t>ENGENHEIRO ELETRICISTA</t>
  </si>
  <si>
    <t>74130/003</t>
  </si>
  <si>
    <t>SUPORTE DE AÇO PARA FIXAÇÃO DE AR-CONDICIONADO DE JANELA COMPOSTO DE CANTONEIRAS DE 1/4" COM FURAÇÕES ESPECÍFICAS E TRATAMENTO COM PRIMER CONTRA CORROSÃO</t>
  </si>
  <si>
    <t>PASTA PARA SOLDA FOSCOPER</t>
  </si>
  <si>
    <t>INSTALAÇÃO DE AR-CONDICIONADO</t>
  </si>
  <si>
    <t>ADMINISTRAÇÃO DA OBRA/SERVIÇOS TÉCNICOS PROFISSIONAIS</t>
  </si>
  <si>
    <t>SERVIÇOS GERAIS</t>
  </si>
  <si>
    <t>LIMPEZA DA OBRA</t>
  </si>
  <si>
    <t>1.0</t>
  </si>
  <si>
    <t>2.0</t>
  </si>
  <si>
    <t>3.0</t>
  </si>
  <si>
    <t>4.0</t>
  </si>
  <si>
    <t>5.0</t>
  </si>
  <si>
    <t>5.1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</si>
  <si>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</si>
  <si>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</si>
  <si>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</si>
  <si>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</si>
  <si>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</si>
  <si>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</si>
  <si>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</si>
  <si>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</si>
  <si>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</si>
  <si>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</si>
  <si>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</si>
  <si>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</si>
  <si>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</si>
  <si>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</si>
  <si>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</si>
  <si>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</si>
  <si>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</si>
  <si>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</si>
  <si>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</si>
  <si>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</si>
  <si>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</si>
  <si>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</si>
  <si>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</si>
  <si>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</si>
  <si>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</si>
  <si>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</si>
  <si>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</si>
  <si>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</si>
  <si>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</si>
  <si>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</si>
  <si>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</si>
  <si>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</si>
  <si>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</si>
  <si>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</si>
  <si>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</si>
  <si>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</si>
  <si>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</si>
  <si>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</si>
  <si>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</si>
  <si>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</si>
  <si>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</si>
  <si>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</si>
  <si>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</si>
  <si>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</si>
  <si>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4.1</t>
  </si>
  <si>
    <t>4.3</t>
  </si>
  <si>
    <t>4.2</t>
  </si>
  <si>
    <t>6.0</t>
  </si>
  <si>
    <t>7.0</t>
  </si>
  <si>
    <t>GAS FREON 22R PARA CONDICIONADORES TIPO SPLITS, BUTIJÃO DE 13,6 Kg</t>
  </si>
  <si>
    <t>90440</t>
  </si>
  <si>
    <t>hora</t>
  </si>
  <si>
    <t>TERMINAL DE COBRE REVESTIDO DE ESTANHO SEMI-ISOLADO (PARA CONEXÕES DE CABOS EM TERMINAIS COM BITOLAS DE 2,5 mm²)</t>
  </si>
  <si>
    <t>TERMINAL DE COBRE REVESTIDO DE ESTANHO SEMI-ISOLADO (PARA CONEXÕES DE CABOS EM TERMINAIS COM BITOLAS DE 16 mm²)</t>
  </si>
  <si>
    <t>72260</t>
  </si>
  <si>
    <t>72259</t>
  </si>
  <si>
    <t>EXECUÇÃO DE FURO EM LAJE (2,5 CM DE DIÂMETRO)</t>
  </si>
  <si>
    <t>ENCARREGADO (ELETROTÉCNICO)</t>
  </si>
  <si>
    <t>FLUXO PARA SOLDA PRATA 200G</t>
  </si>
  <si>
    <t>4.4</t>
  </si>
  <si>
    <t>REPARO EM ALVENARIA (ARGAMASSA)</t>
  </si>
  <si>
    <t>87365</t>
  </si>
  <si>
    <t>m³</t>
  </si>
  <si>
    <t>88489</t>
  </si>
  <si>
    <t>PINTURA LÁTEX ACRÍLICA BRANCA</t>
  </si>
  <si>
    <t>DNPM - DEPARTAMENTO NACIONAL DE PRODUÇÃO MINERAL</t>
  </si>
  <si>
    <t>DGADM - DIRETORIA DE GESTÃO ADMINISTRATIVA</t>
  </si>
  <si>
    <t>DENGE - DIVISÃO DE ENGENHARIA</t>
  </si>
  <si>
    <t>PERÍODO</t>
  </si>
  <si>
    <t xml:space="preserve">DESCRIÇÃO: </t>
  </si>
  <si>
    <t>FÍSICO</t>
  </si>
  <si>
    <t>FINANC.</t>
  </si>
  <si>
    <t>INSTALAÇÕES ELÉTRICAS</t>
  </si>
  <si>
    <t>TOTAL GERAL COM BDI (24,72%)</t>
  </si>
  <si>
    <t>POR MÊS (COM BDI)</t>
  </si>
  <si>
    <t>ACUMULADO (COM BDI)</t>
  </si>
  <si>
    <t>Porcentagem do valor por Medição</t>
  </si>
  <si>
    <t>Valor a Faturar por medição</t>
  </si>
  <si>
    <t>Valor Acumulado</t>
  </si>
  <si>
    <t>Porcentagem do valor Acumulada</t>
  </si>
  <si>
    <t>APÓS EMISSÃO DE TERMO DE RECEBIMENTO DEFINITIVO</t>
  </si>
  <si>
    <t>PROJETO BÁSICO 003/DENGE-DGADM/2015 -  INSTALAÇÃO DOS CONDICIONADORES DE AR EM CIRCUITOS ESPECÍFICOS DE ALIMENTAÇÃO</t>
  </si>
  <si>
    <t>SERVIÇOS GERIAIS</t>
  </si>
  <si>
    <t>0 - 15 DIAS</t>
  </si>
  <si>
    <t>15 - 30 DIAS</t>
  </si>
  <si>
    <t>30 - 45 DIAS</t>
  </si>
  <si>
    <t>1ª Medição - 30 Dias</t>
  </si>
  <si>
    <t>2ª Medição - 60 Dias (Termo de recebimento provisório)</t>
  </si>
  <si>
    <t>45 - 60 DIAS</t>
  </si>
  <si>
    <t>BDI</t>
  </si>
  <si>
    <t xml:space="preserve">LDI = </t>
  </si>
  <si>
    <t>onde,</t>
  </si>
  <si>
    <t>AC</t>
  </si>
  <si>
    <t>taxa de rateio da administração central</t>
  </si>
  <si>
    <t>DF</t>
  </si>
  <si>
    <t>taxas de despesas financeiras</t>
  </si>
  <si>
    <t>R</t>
  </si>
  <si>
    <t>taxa de risco, seguro e garantia do empreendimento</t>
  </si>
  <si>
    <t>L</t>
  </si>
  <si>
    <t>taxa de lucro</t>
  </si>
  <si>
    <t>I</t>
  </si>
  <si>
    <t>taxa de tributos (COFINS, PIS, ISS, CPRB)</t>
  </si>
  <si>
    <t>B D I</t>
  </si>
  <si>
    <t>BENEFÍCIOS E DESPESAS INDIRETAS</t>
  </si>
  <si>
    <t>COMPONENTE</t>
  </si>
  <si>
    <t>INCIDÊNCIA</t>
  </si>
  <si>
    <t>A</t>
  </si>
  <si>
    <t>DESPESAS INDIRETAS</t>
  </si>
  <si>
    <t>Administração Central</t>
  </si>
  <si>
    <t>Seguros + Garantias</t>
  </si>
  <si>
    <t>Riscos</t>
  </si>
  <si>
    <t>Despesas Financeiras</t>
  </si>
  <si>
    <t>B</t>
  </si>
  <si>
    <t>TRIBUTOS</t>
  </si>
  <si>
    <t>COFINS - Contribuição financiamento seguridade social</t>
  </si>
  <si>
    <t>PIS - Programa de Integração Social</t>
  </si>
  <si>
    <t>ISS - Imposto sobre serviço de qualquer natureza</t>
  </si>
  <si>
    <t>Contribuição Previdenciária sobre Receita Bruta</t>
  </si>
  <si>
    <t>C</t>
  </si>
  <si>
    <t>BONIFICAÇÃO</t>
  </si>
  <si>
    <t>Lucro</t>
  </si>
  <si>
    <t>PLANILHA ORÇAMENTÁRIA DENGE-DGADM - Ago./2016:  INSTALAÇÃO DOS CONDICIONADORES DE AR EM CIRCUITOS ESPECÍFICOS DE ALIMENTAÇÃO</t>
  </si>
  <si>
    <t>Data base: SINAPI Junho/2016</t>
  </si>
  <si>
    <t>92293</t>
  </si>
  <si>
    <t>91934</t>
  </si>
  <si>
    <t>91927</t>
  </si>
  <si>
    <t>92305</t>
  </si>
  <si>
    <t>92287</t>
  </si>
  <si>
    <t>mm</t>
  </si>
  <si>
    <t>pesquisa mercado + 30%</t>
  </si>
  <si>
    <t>Brasília, 16/08/2016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</si>
</sst>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* #,##0.00_-;\-* #,##0.00_-;_-* &quot;-&quot;??_-;_-@_-"/>
    <numFmt numFmtId="165" formatCode="&quot;R$&quot;#,##0.00"/>
    <numFmt numFmtId="166" formatCode="&quot;R$&quot;\ #,##0.00"/>
    <numFmt numFmtId="167" formatCode="[$-416]d\ \ mmmm\,\ yyyy;@"/>
    <numFmt numFmtId="168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i/>
      <sz val="11"/>
      <color rgb="FFFF0000"/>
      <name val="Calibri"/>
      <family val="2"/>
      <scheme val="minor"/>
    </font>
    <font>
      <b/>
      <sz val="12"/>
      <color theme="1" tint="0.34998626667073579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 tint="0.249977111117893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6" fillId="0" borderId="0"/>
  </cellStyleXfs>
  <cellXfs count="215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6" fillId="0" borderId="0" xfId="1" applyFont="1" applyBorder="1" applyAlignment="1">
      <alignment horizontal="center" vertical="center"/>
    </xf>
    <xf numFmtId="166" fontId="6" fillId="0" borderId="0" xfId="1" applyNumberFormat="1" applyFont="1" applyBorder="1" applyAlignment="1">
      <alignment horizontal="center" vertical="center"/>
    </xf>
    <xf numFmtId="4" fontId="6" fillId="0" borderId="12" xfId="1" applyNumberFormat="1" applyFon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 wrapText="1"/>
    </xf>
    <xf numFmtId="165" fontId="0" fillId="0" borderId="18" xfId="0" applyNumberForma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165" fontId="0" fillId="0" borderId="25" xfId="0" applyNumberFormat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165" fontId="2" fillId="0" borderId="30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left"/>
    </xf>
    <xf numFmtId="0" fontId="5" fillId="5" borderId="6" xfId="0" applyFont="1" applyFill="1" applyBorder="1" applyAlignment="1">
      <alignment horizontal="left"/>
    </xf>
    <xf numFmtId="0" fontId="5" fillId="5" borderId="7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164" fontId="6" fillId="0" borderId="21" xfId="1" applyFont="1" applyFill="1" applyBorder="1" applyAlignment="1">
      <alignment horizontal="center"/>
    </xf>
    <xf numFmtId="0" fontId="6" fillId="0" borderId="32" xfId="0" applyFont="1" applyFill="1" applyBorder="1" applyAlignment="1">
      <alignment horizontal="left" vertical="distributed" wrapText="1"/>
    </xf>
    <xf numFmtId="0" fontId="6" fillId="0" borderId="37" xfId="0" applyFont="1" applyFill="1" applyBorder="1" applyAlignment="1">
      <alignment horizontal="left" vertical="distributed" wrapText="1"/>
    </xf>
    <xf numFmtId="10" fontId="6" fillId="2" borderId="38" xfId="0" applyNumberFormat="1" applyFont="1" applyFill="1" applyBorder="1" applyAlignment="1">
      <alignment horizontal="center" vertical="distributed" wrapText="1"/>
    </xf>
    <xf numFmtId="166" fontId="6" fillId="0" borderId="39" xfId="1" applyNumberFormat="1" applyFont="1" applyFill="1" applyBorder="1" applyAlignment="1">
      <alignment horizontal="center" vertical="distributed" wrapText="1"/>
    </xf>
    <xf numFmtId="166" fontId="6" fillId="0" borderId="39" xfId="0" applyNumberFormat="1" applyFont="1" applyFill="1" applyBorder="1" applyAlignment="1">
      <alignment horizontal="center" vertical="distributed" wrapText="1"/>
    </xf>
    <xf numFmtId="10" fontId="6" fillId="2" borderId="32" xfId="1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distributed"/>
    </xf>
    <xf numFmtId="0" fontId="6" fillId="0" borderId="40" xfId="0" applyFont="1" applyFill="1" applyBorder="1" applyAlignment="1">
      <alignment horizontal="left" vertical="distributed"/>
    </xf>
    <xf numFmtId="166" fontId="6" fillId="0" borderId="2" xfId="1" applyNumberFormat="1" applyFont="1" applyFill="1" applyBorder="1" applyAlignment="1">
      <alignment horizontal="center" vertical="distributed" wrapText="1"/>
    </xf>
    <xf numFmtId="166" fontId="6" fillId="0" borderId="2" xfId="0" applyNumberFormat="1" applyFont="1" applyFill="1" applyBorder="1" applyAlignment="1">
      <alignment horizontal="center" vertical="distributed" wrapText="1"/>
    </xf>
    <xf numFmtId="10" fontId="6" fillId="2" borderId="17" xfId="0" applyNumberFormat="1" applyFont="1" applyFill="1" applyBorder="1" applyAlignment="1">
      <alignment horizontal="center" vertical="distributed"/>
    </xf>
    <xf numFmtId="166" fontId="6" fillId="0" borderId="2" xfId="1" applyNumberFormat="1" applyFont="1" applyFill="1" applyBorder="1" applyAlignment="1">
      <alignment horizontal="center" vertical="distributed"/>
    </xf>
    <xf numFmtId="10" fontId="6" fillId="0" borderId="17" xfId="1" applyNumberFormat="1" applyFont="1" applyFill="1" applyBorder="1" applyAlignment="1">
      <alignment horizontal="center" vertical="center"/>
    </xf>
    <xf numFmtId="10" fontId="6" fillId="2" borderId="17" xfId="1" applyNumberFormat="1" applyFont="1" applyFill="1" applyBorder="1" applyAlignment="1">
      <alignment horizontal="center" vertical="distributed"/>
    </xf>
    <xf numFmtId="10" fontId="6" fillId="2" borderId="17" xfId="0" applyNumberFormat="1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distributed"/>
    </xf>
    <xf numFmtId="0" fontId="6" fillId="0" borderId="41" xfId="0" applyFont="1" applyFill="1" applyBorder="1" applyAlignment="1">
      <alignment horizontal="left" vertical="distributed"/>
    </xf>
    <xf numFmtId="10" fontId="6" fillId="0" borderId="20" xfId="0" applyNumberFormat="1" applyFont="1" applyFill="1" applyBorder="1" applyAlignment="1">
      <alignment horizontal="center" vertical="distributed"/>
    </xf>
    <xf numFmtId="166" fontId="6" fillId="0" borderId="19" xfId="1" applyNumberFormat="1" applyFont="1" applyFill="1" applyBorder="1" applyAlignment="1">
      <alignment horizontal="center" vertical="distributed"/>
    </xf>
    <xf numFmtId="10" fontId="6" fillId="0" borderId="35" xfId="0" applyNumberFormat="1" applyFont="1" applyFill="1" applyBorder="1" applyAlignment="1">
      <alignment horizontal="center" vertical="distributed"/>
    </xf>
    <xf numFmtId="10" fontId="6" fillId="2" borderId="35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distributed"/>
    </xf>
    <xf numFmtId="10" fontId="6" fillId="0" borderId="0" xfId="0" applyNumberFormat="1" applyFont="1" applyFill="1" applyBorder="1" applyAlignment="1">
      <alignment horizontal="center" vertical="distributed"/>
    </xf>
    <xf numFmtId="166" fontId="6" fillId="0" borderId="0" xfId="1" applyNumberFormat="1" applyFont="1" applyFill="1" applyBorder="1" applyAlignment="1">
      <alignment horizontal="center" vertical="distributed"/>
    </xf>
    <xf numFmtId="10" fontId="6" fillId="0" borderId="0" xfId="1" applyNumberFormat="1" applyFont="1" applyFill="1" applyBorder="1" applyAlignment="1">
      <alignment horizontal="center" vertical="distributed"/>
    </xf>
    <xf numFmtId="166" fontId="6" fillId="0" borderId="0" xfId="1" applyNumberFormat="1" applyFont="1" applyFill="1" applyBorder="1" applyAlignment="1">
      <alignment horizontal="center" vertical="distributed" wrapText="1"/>
    </xf>
    <xf numFmtId="0" fontId="6" fillId="4" borderId="16" xfId="0" applyFont="1" applyFill="1" applyBorder="1" applyAlignment="1">
      <alignment horizontal="left" vertical="distributed"/>
    </xf>
    <xf numFmtId="10" fontId="6" fillId="4" borderId="27" xfId="0" applyNumberFormat="1" applyFont="1" applyFill="1" applyBorder="1" applyAlignment="1">
      <alignment horizontal="center" vertical="distributed"/>
    </xf>
    <xf numFmtId="166" fontId="6" fillId="4" borderId="30" xfId="1" applyNumberFormat="1" applyFont="1" applyFill="1" applyBorder="1" applyAlignment="1">
      <alignment horizontal="center" vertical="distributed"/>
    </xf>
    <xf numFmtId="0" fontId="6" fillId="4" borderId="34" xfId="0" applyFont="1" applyFill="1" applyBorder="1" applyAlignment="1">
      <alignment horizontal="left" vertical="distributed"/>
    </xf>
    <xf numFmtId="10" fontId="6" fillId="4" borderId="42" xfId="0" applyNumberFormat="1" applyFont="1" applyFill="1" applyBorder="1" applyAlignment="1">
      <alignment horizontal="center" vertical="distributed"/>
    </xf>
    <xf numFmtId="166" fontId="6" fillId="4" borderId="26" xfId="1" applyNumberFormat="1" applyFont="1" applyFill="1" applyBorder="1" applyAlignment="1">
      <alignment horizontal="center" vertical="distributed"/>
    </xf>
    <xf numFmtId="10" fontId="6" fillId="4" borderId="42" xfId="1" applyNumberFormat="1" applyFont="1" applyFill="1" applyBorder="1" applyAlignment="1">
      <alignment horizontal="center" vertical="distributed"/>
    </xf>
    <xf numFmtId="10" fontId="6" fillId="4" borderId="42" xfId="1" applyNumberFormat="1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left" vertical="distributed"/>
    </xf>
    <xf numFmtId="9" fontId="6" fillId="0" borderId="16" xfId="1" applyNumberFormat="1" applyFont="1" applyFill="1" applyBorder="1" applyAlignment="1">
      <alignment horizontal="center" vertical="distributed"/>
    </xf>
    <xf numFmtId="166" fontId="6" fillId="0" borderId="16" xfId="0" applyNumberFormat="1" applyFont="1" applyFill="1" applyBorder="1" applyAlignment="1">
      <alignment horizontal="center" vertical="distributed"/>
    </xf>
    <xf numFmtId="4" fontId="6" fillId="0" borderId="16" xfId="1" applyNumberFormat="1" applyFont="1" applyFill="1" applyBorder="1" applyAlignment="1">
      <alignment horizontal="center" vertical="distributed"/>
    </xf>
    <xf numFmtId="0" fontId="6" fillId="0" borderId="0" xfId="0" applyFont="1" applyFill="1" applyBorder="1"/>
    <xf numFmtId="9" fontId="6" fillId="0" borderId="34" xfId="1" applyNumberFormat="1" applyFont="1" applyFill="1" applyBorder="1" applyAlignment="1">
      <alignment horizontal="center" vertical="distributed"/>
    </xf>
    <xf numFmtId="166" fontId="6" fillId="0" borderId="34" xfId="0" applyNumberFormat="1" applyFont="1" applyFill="1" applyBorder="1" applyAlignment="1">
      <alignment horizontal="center" vertical="distributed"/>
    </xf>
    <xf numFmtId="4" fontId="6" fillId="0" borderId="34" xfId="1" applyNumberFormat="1" applyFont="1" applyFill="1" applyBorder="1" applyAlignment="1">
      <alignment horizontal="center" vertical="distributed"/>
    </xf>
    <xf numFmtId="4" fontId="5" fillId="0" borderId="34" xfId="1" applyNumberFormat="1" applyFont="1" applyFill="1" applyBorder="1" applyAlignment="1">
      <alignment horizontal="center" vertical="distributed"/>
    </xf>
    <xf numFmtId="9" fontId="5" fillId="0" borderId="34" xfId="1" applyNumberFormat="1" applyFont="1" applyFill="1" applyBorder="1" applyAlignment="1">
      <alignment horizontal="center" vertical="distributed"/>
    </xf>
    <xf numFmtId="0" fontId="5" fillId="0" borderId="0" xfId="0" applyFont="1" applyFill="1" applyBorder="1"/>
    <xf numFmtId="10" fontId="5" fillId="0" borderId="31" xfId="0" applyNumberFormat="1" applyFont="1" applyFill="1" applyBorder="1" applyAlignment="1">
      <alignment vertical="distributed"/>
    </xf>
    <xf numFmtId="166" fontId="5" fillId="0" borderId="31" xfId="1" applyNumberFormat="1" applyFont="1" applyFill="1" applyBorder="1" applyAlignment="1">
      <alignment vertical="distributed"/>
    </xf>
    <xf numFmtId="166" fontId="0" fillId="0" borderId="0" xfId="0" applyNumberFormat="1"/>
    <xf numFmtId="165" fontId="0" fillId="0" borderId="0" xfId="0" applyNumberFormat="1"/>
    <xf numFmtId="166" fontId="6" fillId="0" borderId="37" xfId="1" applyNumberFormat="1" applyFont="1" applyFill="1" applyBorder="1" applyAlignment="1">
      <alignment horizontal="center" vertical="distributed" wrapText="1"/>
    </xf>
    <xf numFmtId="166" fontId="6" fillId="0" borderId="40" xfId="1" applyNumberFormat="1" applyFont="1" applyFill="1" applyBorder="1" applyAlignment="1">
      <alignment horizontal="center" vertical="distributed" wrapText="1"/>
    </xf>
    <xf numFmtId="166" fontId="6" fillId="0" borderId="41" xfId="1" applyNumberFormat="1" applyFont="1" applyFill="1" applyBorder="1" applyAlignment="1">
      <alignment horizontal="center" vertical="distributed" wrapText="1"/>
    </xf>
    <xf numFmtId="10" fontId="6" fillId="2" borderId="3" xfId="0" applyNumberFormat="1" applyFont="1" applyFill="1" applyBorder="1" applyAlignment="1">
      <alignment horizontal="center" vertical="distributed" wrapText="1"/>
    </xf>
    <xf numFmtId="10" fontId="6" fillId="2" borderId="17" xfId="0" applyNumberFormat="1" applyFont="1" applyFill="1" applyBorder="1" applyAlignment="1">
      <alignment horizontal="center" vertical="distributed" wrapText="1"/>
    </xf>
    <xf numFmtId="10" fontId="6" fillId="0" borderId="3" xfId="0" applyNumberFormat="1" applyFont="1" applyFill="1" applyBorder="1" applyAlignment="1">
      <alignment horizontal="center" vertical="distributed"/>
    </xf>
    <xf numFmtId="166" fontId="6" fillId="0" borderId="2" xfId="0" applyNumberFormat="1" applyFont="1" applyBorder="1" applyAlignment="1">
      <alignment horizontal="center" vertical="center"/>
    </xf>
    <xf numFmtId="10" fontId="6" fillId="2" borderId="32" xfId="0" applyNumberFormat="1" applyFont="1" applyFill="1" applyBorder="1" applyAlignment="1">
      <alignment horizontal="center" vertical="distributed" wrapText="1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6" fillId="5" borderId="43" xfId="0" applyFont="1" applyFill="1" applyBorder="1" applyAlignment="1">
      <alignment horizontal="left" vertical="distributed"/>
    </xf>
    <xf numFmtId="0" fontId="6" fillId="5" borderId="8" xfId="0" applyFont="1" applyFill="1" applyBorder="1" applyAlignment="1">
      <alignment horizontal="left" vertical="distributed"/>
    </xf>
    <xf numFmtId="10" fontId="6" fillId="5" borderId="8" xfId="0" applyNumberFormat="1" applyFont="1" applyFill="1" applyBorder="1" applyAlignment="1">
      <alignment horizontal="center" vertical="distributed"/>
    </xf>
    <xf numFmtId="166" fontId="6" fillId="5" borderId="9" xfId="1" applyNumberFormat="1" applyFont="1" applyFill="1" applyBorder="1" applyAlignment="1">
      <alignment horizontal="center" vertical="distributed"/>
    </xf>
    <xf numFmtId="10" fontId="6" fillId="5" borderId="9" xfId="0" applyNumberFormat="1" applyFont="1" applyFill="1" applyBorder="1" applyAlignment="1">
      <alignment horizontal="center" vertical="distributed"/>
    </xf>
    <xf numFmtId="10" fontId="6" fillId="5" borderId="9" xfId="1" applyNumberFormat="1" applyFont="1" applyFill="1" applyBorder="1" applyAlignment="1">
      <alignment horizontal="center" vertical="distributed"/>
    </xf>
    <xf numFmtId="166" fontId="6" fillId="5" borderId="31" xfId="1" applyNumberFormat="1" applyFont="1" applyFill="1" applyBorder="1" applyAlignment="1">
      <alignment horizontal="center" vertical="distributed" wrapText="1"/>
    </xf>
    <xf numFmtId="0" fontId="6" fillId="5" borderId="27" xfId="0" applyFont="1" applyFill="1" applyBorder="1" applyAlignment="1">
      <alignment horizontal="left" vertical="distributed"/>
    </xf>
    <xf numFmtId="0" fontId="6" fillId="5" borderId="5" xfId="0" applyFont="1" applyFill="1" applyBorder="1" applyAlignment="1">
      <alignment horizontal="left" vertical="distributed"/>
    </xf>
    <xf numFmtId="10" fontId="6" fillId="5" borderId="5" xfId="0" applyNumberFormat="1" applyFont="1" applyFill="1" applyBorder="1" applyAlignment="1">
      <alignment horizontal="center" vertical="distributed"/>
    </xf>
    <xf numFmtId="166" fontId="6" fillId="5" borderId="6" xfId="1" applyNumberFormat="1" applyFont="1" applyFill="1" applyBorder="1" applyAlignment="1">
      <alignment horizontal="center" vertical="distributed"/>
    </xf>
    <xf numFmtId="10" fontId="6" fillId="5" borderId="6" xfId="0" applyNumberFormat="1" applyFont="1" applyFill="1" applyBorder="1" applyAlignment="1">
      <alignment horizontal="center" vertical="distributed"/>
    </xf>
    <xf numFmtId="10" fontId="6" fillId="5" borderId="6" xfId="1" applyNumberFormat="1" applyFont="1" applyFill="1" applyBorder="1" applyAlignment="1">
      <alignment horizontal="center" vertical="distributed"/>
    </xf>
    <xf numFmtId="166" fontId="6" fillId="5" borderId="16" xfId="1" applyNumberFormat="1" applyFont="1" applyFill="1" applyBorder="1" applyAlignment="1">
      <alignment horizontal="center" vertical="distributed" wrapText="1"/>
    </xf>
    <xf numFmtId="0" fontId="7" fillId="7" borderId="13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distributed"/>
    </xf>
    <xf numFmtId="0" fontId="0" fillId="6" borderId="8" xfId="0" applyFill="1" applyBorder="1" applyAlignment="1">
      <alignment horizontal="center"/>
    </xf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 applyAlignment="1">
      <alignment horizontal="center"/>
    </xf>
    <xf numFmtId="0" fontId="0" fillId="6" borderId="0" xfId="0" applyFill="1" applyBorder="1"/>
    <xf numFmtId="0" fontId="0" fillId="6" borderId="12" xfId="0" applyFill="1" applyBorder="1"/>
    <xf numFmtId="0" fontId="0" fillId="6" borderId="13" xfId="0" applyFill="1" applyBorder="1" applyAlignment="1">
      <alignment horizontal="center"/>
    </xf>
    <xf numFmtId="0" fontId="0" fillId="6" borderId="14" xfId="0" applyFill="1" applyBorder="1"/>
    <xf numFmtId="0" fontId="0" fillId="6" borderId="15" xfId="0" applyFill="1" applyBorder="1"/>
    <xf numFmtId="0" fontId="2" fillId="5" borderId="5" xfId="0" applyFont="1" applyFill="1" applyBorder="1" applyAlignment="1">
      <alignment horizontal="center"/>
    </xf>
    <xf numFmtId="10" fontId="2" fillId="5" borderId="6" xfId="0" applyNumberFormat="1" applyFont="1" applyFill="1" applyBorder="1" applyAlignment="1">
      <alignment horizontal="left"/>
    </xf>
    <xf numFmtId="0" fontId="0" fillId="5" borderId="6" xfId="0" applyFill="1" applyBorder="1"/>
    <xf numFmtId="0" fontId="0" fillId="5" borderId="7" xfId="0" applyFill="1" applyBorder="1"/>
    <xf numFmtId="0" fontId="8" fillId="6" borderId="11" xfId="0" applyFont="1" applyFill="1" applyBorder="1" applyAlignment="1">
      <alignment horizontal="center" vertical="center"/>
    </xf>
    <xf numFmtId="43" fontId="0" fillId="6" borderId="0" xfId="3" applyFont="1" applyFill="1" applyBorder="1"/>
    <xf numFmtId="0" fontId="8" fillId="6" borderId="13" xfId="0" applyFont="1" applyFill="1" applyBorder="1" applyAlignment="1">
      <alignment horizontal="center" vertical="center"/>
    </xf>
    <xf numFmtId="2" fontId="0" fillId="6" borderId="14" xfId="3" applyNumberFormat="1" applyFont="1" applyFill="1" applyBorder="1"/>
    <xf numFmtId="0" fontId="0" fillId="0" borderId="0" xfId="0" applyAlignment="1">
      <alignment horizontal="center"/>
    </xf>
    <xf numFmtId="0" fontId="9" fillId="0" borderId="44" xfId="4" applyFont="1" applyBorder="1" applyAlignment="1">
      <alignment horizontal="center" vertical="center"/>
    </xf>
    <xf numFmtId="168" fontId="10" fillId="0" borderId="0" xfId="4" applyNumberFormat="1" applyFont="1" applyAlignment="1">
      <alignment horizontal="center" vertical="center"/>
    </xf>
    <xf numFmtId="0" fontId="10" fillId="0" borderId="0" xfId="4" applyFont="1" applyAlignment="1">
      <alignment vertical="center"/>
    </xf>
    <xf numFmtId="0" fontId="6" fillId="0" borderId="0" xfId="5"/>
    <xf numFmtId="0" fontId="11" fillId="0" borderId="44" xfId="4" applyFont="1" applyBorder="1" applyAlignment="1">
      <alignment horizontal="center" vertical="center"/>
    </xf>
    <xf numFmtId="0" fontId="11" fillId="0" borderId="45" xfId="4" applyFont="1" applyBorder="1" applyAlignment="1">
      <alignment vertical="center"/>
    </xf>
    <xf numFmtId="0" fontId="11" fillId="0" borderId="46" xfId="4" applyFont="1" applyBorder="1" applyAlignment="1">
      <alignment vertical="center"/>
    </xf>
    <xf numFmtId="0" fontId="1" fillId="0" borderId="0" xfId="4"/>
    <xf numFmtId="0" fontId="13" fillId="5" borderId="47" xfId="4" applyFont="1" applyFill="1" applyBorder="1" applyAlignment="1">
      <alignment horizontal="center" vertical="center"/>
    </xf>
    <xf numFmtId="168" fontId="13" fillId="0" borderId="0" xfId="4" applyNumberFormat="1" applyFont="1" applyAlignment="1">
      <alignment horizontal="center" vertical="center"/>
    </xf>
    <xf numFmtId="0" fontId="13" fillId="0" borderId="0" xfId="4" applyFont="1" applyAlignment="1">
      <alignment horizontal="center" vertical="center"/>
    </xf>
    <xf numFmtId="0" fontId="11" fillId="0" borderId="47" xfId="4" applyFont="1" applyBorder="1" applyAlignment="1">
      <alignment horizontal="center" vertical="center"/>
    </xf>
    <xf numFmtId="0" fontId="13" fillId="0" borderId="47" xfId="4" applyFont="1" applyBorder="1" applyAlignment="1">
      <alignment horizontal="center" vertical="center"/>
    </xf>
    <xf numFmtId="0" fontId="14" fillId="0" borderId="47" xfId="4" applyFont="1" applyBorder="1" applyAlignment="1">
      <alignment vertical="center"/>
    </xf>
    <xf numFmtId="10" fontId="11" fillId="0" borderId="47" xfId="4" applyNumberFormat="1" applyFont="1" applyBorder="1" applyAlignment="1">
      <alignment vertical="center"/>
    </xf>
    <xf numFmtId="0" fontId="13" fillId="5" borderId="44" xfId="4" applyFont="1" applyFill="1" applyBorder="1" applyAlignment="1">
      <alignment horizontal="center" vertical="center"/>
    </xf>
    <xf numFmtId="0" fontId="13" fillId="5" borderId="45" xfId="4" applyFont="1" applyFill="1" applyBorder="1" applyAlignment="1">
      <alignment horizontal="center" vertical="center"/>
    </xf>
    <xf numFmtId="10" fontId="13" fillId="5" borderId="46" xfId="4" applyNumberFormat="1" applyFont="1" applyFill="1" applyBorder="1" applyAlignment="1">
      <alignment horizontal="center" vertical="center"/>
    </xf>
    <xf numFmtId="4" fontId="0" fillId="0" borderId="0" xfId="0" applyNumberFormat="1"/>
    <xf numFmtId="10" fontId="11" fillId="0" borderId="47" xfId="4" applyNumberFormat="1" applyFont="1" applyFill="1" applyBorder="1" applyAlignment="1">
      <alignment vertical="center"/>
    </xf>
    <xf numFmtId="10" fontId="13" fillId="5" borderId="47" xfId="4" applyNumberFormat="1" applyFont="1" applyFill="1" applyBorder="1" applyAlignment="1">
      <alignment horizontal="center" vertical="center"/>
    </xf>
    <xf numFmtId="168" fontId="11" fillId="0" borderId="0" xfId="4" applyNumberFormat="1" applyFont="1" applyAlignment="1">
      <alignment horizontal="center" vertical="center"/>
    </xf>
    <xf numFmtId="0" fontId="2" fillId="3" borderId="28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10" fontId="0" fillId="0" borderId="16" xfId="0" applyNumberForma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9" fontId="0" fillId="0" borderId="17" xfId="0" applyNumberFormat="1" applyFill="1" applyBorder="1" applyAlignment="1">
      <alignment horizontal="center" vertical="center" wrapText="1"/>
    </xf>
    <xf numFmtId="49" fontId="0" fillId="0" borderId="11" xfId="0" applyNumberFormat="1" applyFill="1" applyBorder="1" applyAlignment="1">
      <alignment horizontal="center" vertical="center" wrapText="1"/>
    </xf>
    <xf numFmtId="49" fontId="0" fillId="0" borderId="13" xfId="0" applyNumberForma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9" fontId="0" fillId="0" borderId="0" xfId="0" applyNumberFormat="1" applyFill="1" applyAlignment="1">
      <alignment vertical="center" wrapText="1"/>
    </xf>
    <xf numFmtId="49" fontId="3" fillId="0" borderId="0" xfId="2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29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167" fontId="6" fillId="0" borderId="8" xfId="0" applyNumberFormat="1" applyFont="1" applyBorder="1" applyAlignment="1">
      <alignment horizontal="center" vertical="center"/>
    </xf>
    <xf numFmtId="167" fontId="6" fillId="0" borderId="9" xfId="0" applyNumberFormat="1" applyFont="1" applyBorder="1" applyAlignment="1">
      <alignment horizontal="center" vertical="center"/>
    </xf>
    <xf numFmtId="167" fontId="6" fillId="0" borderId="10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9" fillId="0" borderId="45" xfId="4" applyFont="1" applyBorder="1" applyAlignment="1">
      <alignment horizontal="center" vertical="center"/>
    </xf>
    <xf numFmtId="0" fontId="9" fillId="0" borderId="46" xfId="4" applyFont="1" applyBorder="1" applyAlignment="1">
      <alignment horizontal="center" vertical="center"/>
    </xf>
    <xf numFmtId="0" fontId="12" fillId="0" borderId="44" xfId="4" applyFont="1" applyBorder="1" applyAlignment="1">
      <alignment horizontal="center" vertical="center"/>
    </xf>
    <xf numFmtId="0" fontId="12" fillId="0" borderId="45" xfId="4" applyFont="1" applyBorder="1" applyAlignment="1">
      <alignment horizontal="center" vertical="center"/>
    </xf>
    <xf numFmtId="0" fontId="12" fillId="0" borderId="46" xfId="4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30" xfId="0" applyFont="1" applyBorder="1" applyAlignment="1">
      <alignment horizontal="center"/>
    </xf>
  </cellXfs>
  <cellStyles count="6">
    <cellStyle name="Hiperlink" xfId="2" builtinId="8"/>
    <cellStyle name="Normal" xfId="0" builtinId="0"/>
    <cellStyle name="Normal 10" xfId="5"/>
    <cellStyle name="Normal 10 2" xfId="4"/>
    <cellStyle name="Vírgula" xfId="1" builtinId="3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4</xdr:row>
      <xdr:rowOff>47625</xdr:rowOff>
    </xdr:from>
    <xdr:to>
      <xdr:col>10</xdr:col>
      <xdr:colOff>123825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704850"/>
          <a:ext cx="6715125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efrigeracaomarechal.com.br/grupo/43/ar+condicionad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opLeftCell="A58" zoomScale="80" zoomScaleNormal="80" workbookViewId="0">
      <selection activeCell="G63" sqref="G63"/>
    </sheetView>
  </sheetViews>
  <sheetFormatPr defaultRowHeight="15" x14ac:dyDescent="0.25"/>
  <cols>
    <col min="1" max="1" width="18.5703125" style="161" customWidth="1"/>
    <col min="2" max="2" width="9.140625" style="3"/>
    <col min="3" max="3" width="87.28515625" style="2" customWidth="1"/>
    <col min="4" max="4" width="9.140625" style="3"/>
    <col min="5" max="5" width="12.7109375" style="3" customWidth="1"/>
    <col min="6" max="6" width="11.42578125" style="3" customWidth="1"/>
    <col min="7" max="7" width="13" style="3" customWidth="1"/>
    <col min="8" max="8" width="12.7109375" bestFit="1" customWidth="1"/>
  </cols>
  <sheetData>
    <row r="1" spans="1:8" ht="15" customHeight="1" thickBot="1" x14ac:dyDescent="0.3">
      <c r="B1" s="172"/>
      <c r="C1" s="172"/>
      <c r="D1" s="172"/>
      <c r="E1" s="172"/>
      <c r="F1" s="172"/>
      <c r="G1" s="172"/>
      <c r="H1" s="172"/>
    </row>
    <row r="2" spans="1:8" ht="15.75" thickBot="1" x14ac:dyDescent="0.3">
      <c r="A2" s="178" t="s">
        <v>200</v>
      </c>
      <c r="B2" s="179"/>
      <c r="C2" s="179"/>
      <c r="D2" s="179"/>
      <c r="E2" s="179"/>
      <c r="F2" s="179"/>
      <c r="G2" s="180"/>
    </row>
    <row r="3" spans="1:8" x14ac:dyDescent="0.25">
      <c r="A3" s="181" t="s">
        <v>144</v>
      </c>
      <c r="B3" s="182"/>
      <c r="C3" s="182"/>
      <c r="D3" s="183"/>
      <c r="E3" s="184" t="s">
        <v>209</v>
      </c>
      <c r="F3" s="185"/>
      <c r="G3" s="186"/>
    </row>
    <row r="4" spans="1:8" x14ac:dyDescent="0.25">
      <c r="A4" s="187" t="s">
        <v>145</v>
      </c>
      <c r="B4" s="188"/>
      <c r="C4" s="188"/>
      <c r="D4" s="189"/>
      <c r="E4" s="22"/>
      <c r="F4" s="23"/>
      <c r="G4" s="24"/>
    </row>
    <row r="5" spans="1:8" ht="15.75" thickBot="1" x14ac:dyDescent="0.3">
      <c r="A5" s="190" t="s">
        <v>146</v>
      </c>
      <c r="B5" s="191"/>
      <c r="C5" s="191"/>
      <c r="D5" s="192"/>
      <c r="E5" s="193" t="s">
        <v>201</v>
      </c>
      <c r="F5" s="194"/>
      <c r="G5" s="195"/>
    </row>
    <row r="6" spans="1:8" ht="30.75" thickBot="1" x14ac:dyDescent="0.3">
      <c r="A6" s="162" t="s">
        <v>29</v>
      </c>
      <c r="B6" s="27" t="s">
        <v>0</v>
      </c>
      <c r="C6" s="27" t="s">
        <v>1</v>
      </c>
      <c r="D6" s="27" t="s">
        <v>4</v>
      </c>
      <c r="E6" s="27" t="s">
        <v>15</v>
      </c>
      <c r="F6" s="27" t="s">
        <v>2</v>
      </c>
      <c r="G6" s="27" t="s">
        <v>3</v>
      </c>
    </row>
    <row r="7" spans="1:8" ht="30" customHeight="1" x14ac:dyDescent="0.25">
      <c r="A7" s="163"/>
      <c r="B7" s="28" t="s">
        <v>73</v>
      </c>
      <c r="C7" s="174" t="s">
        <v>70</v>
      </c>
      <c r="D7" s="174"/>
      <c r="E7" s="174"/>
      <c r="F7" s="174"/>
      <c r="G7" s="29"/>
      <c r="H7" s="90">
        <f>G8+G9</f>
        <v>20307.2</v>
      </c>
    </row>
    <row r="8" spans="1:8" ht="30" customHeight="1" x14ac:dyDescent="0.25">
      <c r="A8" s="164">
        <v>91677</v>
      </c>
      <c r="B8" s="5" t="s">
        <v>79</v>
      </c>
      <c r="C8" s="1" t="s">
        <v>65</v>
      </c>
      <c r="D8" s="5" t="s">
        <v>130</v>
      </c>
      <c r="E8" s="9">
        <v>180</v>
      </c>
      <c r="F8" s="5">
        <v>73.12</v>
      </c>
      <c r="G8" s="25">
        <f t="shared" ref="G8:G9" si="0">E8*F8</f>
        <v>13161.6</v>
      </c>
    </row>
    <row r="9" spans="1:8" ht="30" customHeight="1" x14ac:dyDescent="0.25">
      <c r="A9" s="164">
        <v>88266</v>
      </c>
      <c r="B9" s="5" t="s">
        <v>80</v>
      </c>
      <c r="C9" s="1" t="s">
        <v>136</v>
      </c>
      <c r="D9" s="5" t="s">
        <v>130</v>
      </c>
      <c r="E9" s="9">
        <v>320</v>
      </c>
      <c r="F9" s="5">
        <v>22.33</v>
      </c>
      <c r="G9" s="25">
        <f t="shared" si="0"/>
        <v>7145.5999999999995</v>
      </c>
    </row>
    <row r="10" spans="1:8" ht="30" customHeight="1" x14ac:dyDescent="0.25">
      <c r="A10" s="164"/>
      <c r="B10" s="18" t="s">
        <v>74</v>
      </c>
      <c r="C10" s="173" t="s">
        <v>151</v>
      </c>
      <c r="D10" s="173"/>
      <c r="E10" s="173"/>
      <c r="F10" s="173"/>
      <c r="G10" s="25"/>
      <c r="H10" s="91">
        <f>SUM(G11:G19)</f>
        <v>32476.519999999997</v>
      </c>
    </row>
    <row r="11" spans="1:8" ht="90" x14ac:dyDescent="0.25">
      <c r="A11" s="165" t="s">
        <v>35</v>
      </c>
      <c r="B11" s="6" t="s">
        <v>81</v>
      </c>
      <c r="C11" s="11" t="s">
        <v>33</v>
      </c>
      <c r="D11" s="5" t="s">
        <v>17</v>
      </c>
      <c r="E11" s="9">
        <v>12</v>
      </c>
      <c r="F11" s="7">
        <v>1400</v>
      </c>
      <c r="G11" s="25">
        <f>E11*F11</f>
        <v>16800</v>
      </c>
    </row>
    <row r="12" spans="1:8" ht="30" customHeight="1" x14ac:dyDescent="0.25">
      <c r="A12" s="165" t="s">
        <v>34</v>
      </c>
      <c r="B12" s="6" t="s">
        <v>82</v>
      </c>
      <c r="C12" s="1" t="s">
        <v>20</v>
      </c>
      <c r="D12" s="5" t="s">
        <v>16</v>
      </c>
      <c r="E12" s="9">
        <v>100</v>
      </c>
      <c r="F12" s="7">
        <v>9.73</v>
      </c>
      <c r="G12" s="25">
        <f t="shared" ref="G12:G52" si="1">E12*F12</f>
        <v>973</v>
      </c>
    </row>
    <row r="13" spans="1:8" ht="30" customHeight="1" x14ac:dyDescent="0.25">
      <c r="A13" s="165" t="s">
        <v>203</v>
      </c>
      <c r="B13" s="6" t="s">
        <v>83</v>
      </c>
      <c r="C13" s="1" t="s">
        <v>23</v>
      </c>
      <c r="D13" s="5" t="s">
        <v>16</v>
      </c>
      <c r="E13" s="9">
        <v>100</v>
      </c>
      <c r="F13" s="7">
        <v>17.02</v>
      </c>
      <c r="G13" s="25">
        <f t="shared" si="1"/>
        <v>1702</v>
      </c>
    </row>
    <row r="14" spans="1:8" ht="30" customHeight="1" x14ac:dyDescent="0.25">
      <c r="A14" s="165" t="s">
        <v>204</v>
      </c>
      <c r="B14" s="6" t="s">
        <v>84</v>
      </c>
      <c r="C14" s="1" t="s">
        <v>21</v>
      </c>
      <c r="D14" s="5" t="s">
        <v>16</v>
      </c>
      <c r="E14" s="9">
        <v>2500</v>
      </c>
      <c r="F14" s="7">
        <v>3.19</v>
      </c>
      <c r="G14" s="25">
        <f t="shared" si="1"/>
        <v>7975</v>
      </c>
    </row>
    <row r="15" spans="1:8" ht="30" customHeight="1" x14ac:dyDescent="0.25">
      <c r="A15" s="165" t="s">
        <v>37</v>
      </c>
      <c r="B15" s="6" t="s">
        <v>85</v>
      </c>
      <c r="C15" s="1" t="s">
        <v>5</v>
      </c>
      <c r="D15" s="5" t="s">
        <v>16</v>
      </c>
      <c r="E15" s="9">
        <v>150</v>
      </c>
      <c r="F15" s="7">
        <v>0.95</v>
      </c>
      <c r="G15" s="25">
        <f>E15*F15</f>
        <v>142.5</v>
      </c>
    </row>
    <row r="16" spans="1:8" ht="30" customHeight="1" x14ac:dyDescent="0.25">
      <c r="A16" s="165" t="s">
        <v>38</v>
      </c>
      <c r="B16" s="6" t="s">
        <v>86</v>
      </c>
      <c r="C16" s="1" t="s">
        <v>39</v>
      </c>
      <c r="D16" s="5" t="s">
        <v>17</v>
      </c>
      <c r="E16" s="9">
        <v>15</v>
      </c>
      <c r="F16" s="7">
        <v>7</v>
      </c>
      <c r="G16" s="25">
        <f>E16*F16</f>
        <v>105</v>
      </c>
    </row>
    <row r="17" spans="1:8" ht="30" customHeight="1" x14ac:dyDescent="0.25">
      <c r="A17" s="165" t="s">
        <v>134</v>
      </c>
      <c r="B17" s="6" t="s">
        <v>87</v>
      </c>
      <c r="C17" s="1" t="s">
        <v>131</v>
      </c>
      <c r="D17" s="5" t="s">
        <v>17</v>
      </c>
      <c r="E17" s="9">
        <v>150</v>
      </c>
      <c r="F17" s="7">
        <v>11.41</v>
      </c>
      <c r="G17" s="25">
        <f>E17*F17</f>
        <v>1711.5</v>
      </c>
    </row>
    <row r="18" spans="1:8" ht="30" customHeight="1" x14ac:dyDescent="0.25">
      <c r="A18" s="165" t="s">
        <v>133</v>
      </c>
      <c r="B18" s="6" t="s">
        <v>88</v>
      </c>
      <c r="C18" s="1" t="s">
        <v>132</v>
      </c>
      <c r="D18" s="5" t="s">
        <v>17</v>
      </c>
      <c r="E18" s="9">
        <v>72</v>
      </c>
      <c r="F18" s="7">
        <v>11.36</v>
      </c>
      <c r="G18" s="25">
        <f>E18*F18</f>
        <v>817.92</v>
      </c>
    </row>
    <row r="19" spans="1:8" ht="30" customHeight="1" x14ac:dyDescent="0.25">
      <c r="A19" s="165" t="s">
        <v>66</v>
      </c>
      <c r="B19" s="6" t="s">
        <v>89</v>
      </c>
      <c r="C19" s="1" t="s">
        <v>22</v>
      </c>
      <c r="D19" s="5" t="s">
        <v>17</v>
      </c>
      <c r="E19" s="9">
        <v>40</v>
      </c>
      <c r="F19" s="7">
        <v>56.24</v>
      </c>
      <c r="G19" s="25">
        <f>E19*F19</f>
        <v>2249.6</v>
      </c>
    </row>
    <row r="20" spans="1:8" ht="30" customHeight="1" x14ac:dyDescent="0.25">
      <c r="A20" s="165"/>
      <c r="B20" s="17" t="s">
        <v>75</v>
      </c>
      <c r="C20" s="173" t="s">
        <v>69</v>
      </c>
      <c r="D20" s="173"/>
      <c r="E20" s="173"/>
      <c r="F20" s="173"/>
      <c r="G20" s="25"/>
      <c r="H20" s="91">
        <f>SUM(G21:G54)</f>
        <v>53411.351000000002</v>
      </c>
    </row>
    <row r="21" spans="1:8" ht="30" customHeight="1" x14ac:dyDescent="0.25">
      <c r="A21" s="165" t="s">
        <v>205</v>
      </c>
      <c r="B21" s="6" t="s">
        <v>90</v>
      </c>
      <c r="C21" s="1" t="s">
        <v>6</v>
      </c>
      <c r="D21" s="5" t="s">
        <v>16</v>
      </c>
      <c r="E21" s="9">
        <v>350</v>
      </c>
      <c r="F21" s="7">
        <v>17.18</v>
      </c>
      <c r="G21" s="25">
        <f t="shared" si="1"/>
        <v>6013</v>
      </c>
    </row>
    <row r="22" spans="1:8" ht="30" customHeight="1" x14ac:dyDescent="0.25">
      <c r="A22" s="165" t="s">
        <v>208</v>
      </c>
      <c r="B22" s="6" t="s">
        <v>91</v>
      </c>
      <c r="C22" s="1" t="s">
        <v>7</v>
      </c>
      <c r="D22" s="5" t="s">
        <v>16</v>
      </c>
      <c r="E22" s="9">
        <v>320</v>
      </c>
      <c r="F22" s="7">
        <f>8.93*1.3</f>
        <v>11.609</v>
      </c>
      <c r="G22" s="25">
        <f t="shared" si="1"/>
        <v>3714.88</v>
      </c>
    </row>
    <row r="23" spans="1:8" ht="30" customHeight="1" x14ac:dyDescent="0.25">
      <c r="A23" s="165" t="s">
        <v>208</v>
      </c>
      <c r="B23" s="6" t="s">
        <v>92</v>
      </c>
      <c r="C23" s="1" t="s">
        <v>8</v>
      </c>
      <c r="D23" s="5" t="s">
        <v>16</v>
      </c>
      <c r="E23" s="9">
        <v>320</v>
      </c>
      <c r="F23" s="7">
        <f>6.57*1.3</f>
        <v>8.5410000000000004</v>
      </c>
      <c r="G23" s="25">
        <f t="shared" si="1"/>
        <v>2733.12</v>
      </c>
    </row>
    <row r="24" spans="1:8" ht="30" customHeight="1" x14ac:dyDescent="0.25">
      <c r="A24" s="165" t="s">
        <v>208</v>
      </c>
      <c r="B24" s="6" t="s">
        <v>93</v>
      </c>
      <c r="C24" s="1" t="s">
        <v>9</v>
      </c>
      <c r="D24" s="5" t="s">
        <v>16</v>
      </c>
      <c r="E24" s="9">
        <v>220</v>
      </c>
      <c r="F24" s="7">
        <f>17.18*1.3</f>
        <v>22.334</v>
      </c>
      <c r="G24" s="25">
        <f t="shared" si="1"/>
        <v>4913.4799999999996</v>
      </c>
    </row>
    <row r="25" spans="1:8" ht="30" customHeight="1" x14ac:dyDescent="0.25">
      <c r="A25" s="165" t="s">
        <v>208</v>
      </c>
      <c r="B25" s="6" t="s">
        <v>94</v>
      </c>
      <c r="C25" s="1" t="s">
        <v>24</v>
      </c>
      <c r="D25" s="5" t="s">
        <v>16</v>
      </c>
      <c r="E25" s="9">
        <v>80</v>
      </c>
      <c r="F25" s="7">
        <f>1.52*1.3</f>
        <v>1.9760000000000002</v>
      </c>
      <c r="G25" s="25">
        <f t="shared" si="1"/>
        <v>158.08000000000001</v>
      </c>
    </row>
    <row r="26" spans="1:8" ht="30" customHeight="1" x14ac:dyDescent="0.25">
      <c r="A26" s="165" t="s">
        <v>208</v>
      </c>
      <c r="B26" s="6" t="s">
        <v>95</v>
      </c>
      <c r="C26" s="1" t="s">
        <v>25</v>
      </c>
      <c r="D26" s="5" t="s">
        <v>16</v>
      </c>
      <c r="E26" s="9">
        <v>150</v>
      </c>
      <c r="F26" s="7">
        <f>1.52*1.3</f>
        <v>1.9760000000000002</v>
      </c>
      <c r="G26" s="25">
        <f t="shared" si="1"/>
        <v>296.40000000000003</v>
      </c>
    </row>
    <row r="27" spans="1:8" ht="30" customHeight="1" x14ac:dyDescent="0.25">
      <c r="A27" s="165" t="s">
        <v>208</v>
      </c>
      <c r="B27" s="6" t="s">
        <v>96</v>
      </c>
      <c r="C27" s="1" t="s">
        <v>28</v>
      </c>
      <c r="D27" s="5" t="s">
        <v>16</v>
      </c>
      <c r="E27" s="9">
        <v>150</v>
      </c>
      <c r="F27" s="7">
        <f>1.24*1.3</f>
        <v>1.6120000000000001</v>
      </c>
      <c r="G27" s="25">
        <f t="shared" si="1"/>
        <v>241.8</v>
      </c>
    </row>
    <row r="28" spans="1:8" ht="30" customHeight="1" x14ac:dyDescent="0.25">
      <c r="A28" s="165" t="s">
        <v>208</v>
      </c>
      <c r="B28" s="6" t="s">
        <v>97</v>
      </c>
      <c r="C28" s="1" t="s">
        <v>26</v>
      </c>
      <c r="D28" s="5" t="s">
        <v>16</v>
      </c>
      <c r="E28" s="9">
        <v>150</v>
      </c>
      <c r="F28" s="7">
        <f>1.49*1.3</f>
        <v>1.9370000000000001</v>
      </c>
      <c r="G28" s="25">
        <f t="shared" si="1"/>
        <v>290.55</v>
      </c>
    </row>
    <row r="29" spans="1:8" ht="30" customHeight="1" x14ac:dyDescent="0.25">
      <c r="A29" s="165" t="s">
        <v>208</v>
      </c>
      <c r="B29" s="6" t="s">
        <v>98</v>
      </c>
      <c r="C29" s="1" t="s">
        <v>59</v>
      </c>
      <c r="D29" s="5" t="s">
        <v>18</v>
      </c>
      <c r="E29" s="9">
        <v>5</v>
      </c>
      <c r="F29" s="7">
        <f>97.98*1.3</f>
        <v>127.37400000000001</v>
      </c>
      <c r="G29" s="25">
        <f t="shared" si="1"/>
        <v>636.87</v>
      </c>
    </row>
    <row r="30" spans="1:8" ht="30" customHeight="1" x14ac:dyDescent="0.25">
      <c r="A30" s="165" t="s">
        <v>208</v>
      </c>
      <c r="B30" s="12" t="s">
        <v>99</v>
      </c>
      <c r="C30" s="11" t="s">
        <v>64</v>
      </c>
      <c r="D30" s="13" t="s">
        <v>18</v>
      </c>
      <c r="E30" s="14">
        <v>3</v>
      </c>
      <c r="F30" s="15">
        <f>2400*1.3</f>
        <v>3120</v>
      </c>
      <c r="G30" s="26">
        <f t="shared" si="1"/>
        <v>9360</v>
      </c>
    </row>
    <row r="31" spans="1:8" ht="30" customHeight="1" x14ac:dyDescent="0.25">
      <c r="A31" s="165" t="s">
        <v>208</v>
      </c>
      <c r="B31" s="6" t="s">
        <v>100</v>
      </c>
      <c r="C31" s="1" t="s">
        <v>68</v>
      </c>
      <c r="D31" s="5" t="s">
        <v>18</v>
      </c>
      <c r="E31" s="9">
        <v>1</v>
      </c>
      <c r="F31" s="7">
        <f>7.27*1.3</f>
        <v>9.4510000000000005</v>
      </c>
      <c r="G31" s="25">
        <f t="shared" si="1"/>
        <v>9.4510000000000005</v>
      </c>
    </row>
    <row r="32" spans="1:8" ht="30" customHeight="1" x14ac:dyDescent="0.25">
      <c r="A32" s="165" t="s">
        <v>208</v>
      </c>
      <c r="B32" s="6" t="s">
        <v>101</v>
      </c>
      <c r="C32" s="1" t="s">
        <v>137</v>
      </c>
      <c r="D32" s="5" t="s">
        <v>18</v>
      </c>
      <c r="E32" s="9">
        <v>5</v>
      </c>
      <c r="F32" s="7">
        <f>8.96*1.3</f>
        <v>11.648000000000001</v>
      </c>
      <c r="G32" s="25">
        <f t="shared" si="1"/>
        <v>58.240000000000009</v>
      </c>
    </row>
    <row r="33" spans="1:7" ht="30" customHeight="1" x14ac:dyDescent="0.25">
      <c r="A33" s="165" t="s">
        <v>202</v>
      </c>
      <c r="B33" s="6" t="s">
        <v>101</v>
      </c>
      <c r="C33" s="1" t="s">
        <v>40</v>
      </c>
      <c r="D33" s="5" t="s">
        <v>17</v>
      </c>
      <c r="E33" s="9">
        <v>50</v>
      </c>
      <c r="F33" s="7">
        <v>4.99</v>
      </c>
      <c r="G33" s="25">
        <f t="shared" si="1"/>
        <v>249.5</v>
      </c>
    </row>
    <row r="34" spans="1:7" ht="30" customHeight="1" x14ac:dyDescent="0.25">
      <c r="A34" s="165" t="s">
        <v>208</v>
      </c>
      <c r="B34" s="6" t="s">
        <v>102</v>
      </c>
      <c r="C34" s="1" t="s">
        <v>41</v>
      </c>
      <c r="D34" s="5" t="s">
        <v>17</v>
      </c>
      <c r="E34" s="9">
        <v>50</v>
      </c>
      <c r="F34" s="15">
        <f>2.5*1.3</f>
        <v>3.25</v>
      </c>
      <c r="G34" s="25">
        <f t="shared" si="1"/>
        <v>162.5</v>
      </c>
    </row>
    <row r="35" spans="1:7" ht="30" customHeight="1" x14ac:dyDescent="0.25">
      <c r="A35" s="165" t="s">
        <v>208</v>
      </c>
      <c r="B35" s="6" t="s">
        <v>103</v>
      </c>
      <c r="C35" s="1" t="s">
        <v>42</v>
      </c>
      <c r="D35" s="5" t="s">
        <v>17</v>
      </c>
      <c r="E35" s="9">
        <v>65</v>
      </c>
      <c r="F35" s="15">
        <f>1*1.3</f>
        <v>1.3</v>
      </c>
      <c r="G35" s="25">
        <f t="shared" si="1"/>
        <v>84.5</v>
      </c>
    </row>
    <row r="36" spans="1:7" ht="30" customHeight="1" x14ac:dyDescent="0.25">
      <c r="A36" s="165" t="s">
        <v>208</v>
      </c>
      <c r="B36" s="6" t="s">
        <v>104</v>
      </c>
      <c r="C36" s="1" t="s">
        <v>43</v>
      </c>
      <c r="D36" s="5" t="s">
        <v>17</v>
      </c>
      <c r="E36" s="9">
        <v>65</v>
      </c>
      <c r="F36" s="15">
        <f>5.8*1.3</f>
        <v>7.54</v>
      </c>
      <c r="G36" s="25">
        <f t="shared" si="1"/>
        <v>490.1</v>
      </c>
    </row>
    <row r="37" spans="1:7" ht="30" customHeight="1" x14ac:dyDescent="0.25">
      <c r="A37" s="165" t="s">
        <v>208</v>
      </c>
      <c r="B37" s="6" t="s">
        <v>105</v>
      </c>
      <c r="C37" s="1" t="s">
        <v>44</v>
      </c>
      <c r="D37" s="5" t="s">
        <v>17</v>
      </c>
      <c r="E37" s="9">
        <v>60</v>
      </c>
      <c r="F37" s="7">
        <f>2.98*1.3</f>
        <v>3.8740000000000001</v>
      </c>
      <c r="G37" s="25">
        <f t="shared" si="1"/>
        <v>232.44</v>
      </c>
    </row>
    <row r="38" spans="1:7" ht="30" customHeight="1" x14ac:dyDescent="0.25">
      <c r="A38" s="165" t="s">
        <v>208</v>
      </c>
      <c r="B38" s="6" t="s">
        <v>106</v>
      </c>
      <c r="C38" s="1" t="s">
        <v>45</v>
      </c>
      <c r="D38" s="5" t="s">
        <v>17</v>
      </c>
      <c r="E38" s="9">
        <v>60</v>
      </c>
      <c r="F38" s="7">
        <f>1.44*1.3</f>
        <v>1.8719999999999999</v>
      </c>
      <c r="G38" s="25">
        <f t="shared" si="1"/>
        <v>112.32</v>
      </c>
    </row>
    <row r="39" spans="1:7" ht="30" customHeight="1" x14ac:dyDescent="0.25">
      <c r="A39" s="165" t="s">
        <v>208</v>
      </c>
      <c r="B39" s="6" t="s">
        <v>107</v>
      </c>
      <c r="C39" s="1" t="s">
        <v>46</v>
      </c>
      <c r="D39" s="5" t="s">
        <v>17</v>
      </c>
      <c r="E39" s="9">
        <v>60</v>
      </c>
      <c r="F39" s="7">
        <f>1.07*1.3</f>
        <v>1.3910000000000002</v>
      </c>
      <c r="G39" s="25">
        <f t="shared" si="1"/>
        <v>83.460000000000008</v>
      </c>
    </row>
    <row r="40" spans="1:7" ht="30" customHeight="1" x14ac:dyDescent="0.25">
      <c r="A40" s="165" t="s">
        <v>208</v>
      </c>
      <c r="B40" s="6" t="s">
        <v>108</v>
      </c>
      <c r="C40" s="1" t="s">
        <v>47</v>
      </c>
      <c r="D40" s="5" t="s">
        <v>17</v>
      </c>
      <c r="E40" s="9">
        <v>60</v>
      </c>
      <c r="F40" s="7">
        <f>2.9*1.3</f>
        <v>3.77</v>
      </c>
      <c r="G40" s="25">
        <f t="shared" si="1"/>
        <v>226.2</v>
      </c>
    </row>
    <row r="41" spans="1:7" ht="30" customHeight="1" x14ac:dyDescent="0.25">
      <c r="A41" s="165" t="s">
        <v>206</v>
      </c>
      <c r="B41" s="6" t="s">
        <v>109</v>
      </c>
      <c r="C41" s="1" t="s">
        <v>48</v>
      </c>
      <c r="D41" s="5" t="s">
        <v>17</v>
      </c>
      <c r="E41" s="9">
        <v>60</v>
      </c>
      <c r="F41" s="7">
        <v>8.76</v>
      </c>
      <c r="G41" s="25">
        <f t="shared" si="1"/>
        <v>525.6</v>
      </c>
    </row>
    <row r="42" spans="1:7" ht="30" customHeight="1" x14ac:dyDescent="0.25">
      <c r="A42" s="165" t="s">
        <v>208</v>
      </c>
      <c r="B42" s="6" t="s">
        <v>110</v>
      </c>
      <c r="C42" s="1" t="s">
        <v>49</v>
      </c>
      <c r="D42" s="5" t="s">
        <v>17</v>
      </c>
      <c r="E42" s="9">
        <v>60</v>
      </c>
      <c r="F42" s="7">
        <f>1.5*1.3</f>
        <v>1.9500000000000002</v>
      </c>
      <c r="G42" s="25">
        <f t="shared" si="1"/>
        <v>117.00000000000001</v>
      </c>
    </row>
    <row r="43" spans="1:7" ht="30" customHeight="1" x14ac:dyDescent="0.25">
      <c r="A43" s="165" t="s">
        <v>208</v>
      </c>
      <c r="B43" s="6" t="s">
        <v>111</v>
      </c>
      <c r="C43" s="1" t="s">
        <v>50</v>
      </c>
      <c r="D43" s="5" t="s">
        <v>17</v>
      </c>
      <c r="E43" s="9">
        <v>60</v>
      </c>
      <c r="F43" s="7">
        <f>1*1.3</f>
        <v>1.3</v>
      </c>
      <c r="G43" s="25">
        <f t="shared" si="1"/>
        <v>78</v>
      </c>
    </row>
    <row r="44" spans="1:7" ht="30" customHeight="1" x14ac:dyDescent="0.25">
      <c r="A44" s="165" t="s">
        <v>208</v>
      </c>
      <c r="B44" s="6" t="s">
        <v>112</v>
      </c>
      <c r="C44" s="1" t="s">
        <v>51</v>
      </c>
      <c r="D44" s="5" t="s">
        <v>17</v>
      </c>
      <c r="E44" s="9">
        <v>60</v>
      </c>
      <c r="F44" s="7">
        <f>2.5*1.3</f>
        <v>3.25</v>
      </c>
      <c r="G44" s="25">
        <f t="shared" si="1"/>
        <v>195</v>
      </c>
    </row>
    <row r="45" spans="1:7" ht="30" customHeight="1" x14ac:dyDescent="0.25">
      <c r="A45" s="165" t="s">
        <v>30</v>
      </c>
      <c r="B45" s="6" t="s">
        <v>113</v>
      </c>
      <c r="C45" s="1" t="s">
        <v>10</v>
      </c>
      <c r="D45" s="5" t="s">
        <v>16</v>
      </c>
      <c r="E45" s="9">
        <v>300</v>
      </c>
      <c r="F45" s="7">
        <f>8.56</f>
        <v>8.56</v>
      </c>
      <c r="G45" s="25">
        <f t="shared" si="1"/>
        <v>2568</v>
      </c>
    </row>
    <row r="46" spans="1:7" ht="30" customHeight="1" x14ac:dyDescent="0.25">
      <c r="A46" s="165" t="s">
        <v>31</v>
      </c>
      <c r="B46" s="6" t="s">
        <v>114</v>
      </c>
      <c r="C46" s="1" t="s">
        <v>11</v>
      </c>
      <c r="D46" s="5" t="s">
        <v>17</v>
      </c>
      <c r="E46" s="9">
        <v>45</v>
      </c>
      <c r="F46" s="7">
        <f>2.3*1.3</f>
        <v>2.9899999999999998</v>
      </c>
      <c r="G46" s="25">
        <f t="shared" si="1"/>
        <v>134.54999999999998</v>
      </c>
    </row>
    <row r="47" spans="1:7" ht="30" customHeight="1" x14ac:dyDescent="0.25">
      <c r="A47" s="165" t="s">
        <v>32</v>
      </c>
      <c r="B47" s="6" t="s">
        <v>115</v>
      </c>
      <c r="C47" s="1" t="s">
        <v>12</v>
      </c>
      <c r="D47" s="5" t="s">
        <v>17</v>
      </c>
      <c r="E47" s="9">
        <v>45</v>
      </c>
      <c r="F47" s="7">
        <v>3.74</v>
      </c>
      <c r="G47" s="25">
        <f t="shared" si="1"/>
        <v>168.3</v>
      </c>
    </row>
    <row r="48" spans="1:7" ht="30" customHeight="1" x14ac:dyDescent="0.25">
      <c r="A48" s="165" t="s">
        <v>208</v>
      </c>
      <c r="B48" s="6" t="s">
        <v>116</v>
      </c>
      <c r="C48" s="1" t="s">
        <v>13</v>
      </c>
      <c r="D48" s="5" t="s">
        <v>18</v>
      </c>
      <c r="E48" s="9">
        <v>5</v>
      </c>
      <c r="F48" s="7">
        <f>60*1.3</f>
        <v>78</v>
      </c>
      <c r="G48" s="25">
        <f>E48*F48</f>
        <v>390</v>
      </c>
    </row>
    <row r="49" spans="1:8" ht="30" customHeight="1" x14ac:dyDescent="0.25">
      <c r="A49" s="165" t="s">
        <v>60</v>
      </c>
      <c r="B49" s="6" t="s">
        <v>117</v>
      </c>
      <c r="C49" s="1" t="s">
        <v>53</v>
      </c>
      <c r="D49" s="5" t="s">
        <v>17</v>
      </c>
      <c r="E49" s="9">
        <v>200</v>
      </c>
      <c r="F49" s="7">
        <v>1.9</v>
      </c>
      <c r="G49" s="25">
        <f t="shared" si="1"/>
        <v>380</v>
      </c>
    </row>
    <row r="50" spans="1:8" ht="30" customHeight="1" x14ac:dyDescent="0.25">
      <c r="A50" s="165" t="s">
        <v>208</v>
      </c>
      <c r="B50" s="6" t="s">
        <v>118</v>
      </c>
      <c r="C50" s="11" t="s">
        <v>14</v>
      </c>
      <c r="D50" s="5" t="s">
        <v>16</v>
      </c>
      <c r="E50" s="9">
        <v>250</v>
      </c>
      <c r="F50" s="7">
        <f>17.19*1.3</f>
        <v>22.347000000000001</v>
      </c>
      <c r="G50" s="25">
        <f t="shared" si="1"/>
        <v>5586.75</v>
      </c>
    </row>
    <row r="51" spans="1:8" ht="30" customHeight="1" x14ac:dyDescent="0.25">
      <c r="A51" s="165" t="s">
        <v>208</v>
      </c>
      <c r="B51" s="6" t="s">
        <v>119</v>
      </c>
      <c r="C51" s="1" t="s">
        <v>36</v>
      </c>
      <c r="D51" s="5" t="s">
        <v>17</v>
      </c>
      <c r="E51" s="9">
        <v>16</v>
      </c>
      <c r="F51" s="7">
        <f>49.2*1.3</f>
        <v>63.960000000000008</v>
      </c>
      <c r="G51" s="25">
        <f t="shared" si="1"/>
        <v>1023.3600000000001</v>
      </c>
    </row>
    <row r="52" spans="1:8" ht="30" customHeight="1" x14ac:dyDescent="0.25">
      <c r="A52" s="165" t="s">
        <v>208</v>
      </c>
      <c r="B52" s="6" t="s">
        <v>120</v>
      </c>
      <c r="C52" s="11" t="s">
        <v>67</v>
      </c>
      <c r="D52" s="5" t="s">
        <v>17</v>
      </c>
      <c r="E52" s="9">
        <v>14</v>
      </c>
      <c r="F52" s="7">
        <f>19.5*1.3</f>
        <v>25.35</v>
      </c>
      <c r="G52" s="25">
        <f t="shared" si="1"/>
        <v>354.90000000000003</v>
      </c>
    </row>
    <row r="53" spans="1:8" ht="30" customHeight="1" x14ac:dyDescent="0.25">
      <c r="A53" s="165" t="s">
        <v>63</v>
      </c>
      <c r="B53" s="6" t="s">
        <v>121</v>
      </c>
      <c r="C53" s="1" t="s">
        <v>54</v>
      </c>
      <c r="D53" s="5" t="s">
        <v>17</v>
      </c>
      <c r="E53" s="9">
        <v>300</v>
      </c>
      <c r="F53" s="7">
        <v>0.41</v>
      </c>
      <c r="G53" s="25">
        <f>E53*F53</f>
        <v>122.99999999999999</v>
      </c>
    </row>
    <row r="54" spans="1:8" ht="30" customHeight="1" x14ac:dyDescent="0.25">
      <c r="A54" s="165" t="s">
        <v>208</v>
      </c>
      <c r="B54" s="6" t="s">
        <v>122</v>
      </c>
      <c r="C54" s="1" t="s">
        <v>128</v>
      </c>
      <c r="D54" s="5" t="s">
        <v>17</v>
      </c>
      <c r="E54" s="9">
        <v>10</v>
      </c>
      <c r="F54" s="7">
        <f>900*1.3</f>
        <v>1170</v>
      </c>
      <c r="G54" s="25">
        <f>E54*F54</f>
        <v>11700</v>
      </c>
    </row>
    <row r="55" spans="1:8" ht="30" customHeight="1" x14ac:dyDescent="0.25">
      <c r="A55" s="165"/>
      <c r="B55" s="17" t="s">
        <v>76</v>
      </c>
      <c r="C55" s="173" t="s">
        <v>71</v>
      </c>
      <c r="D55" s="173"/>
      <c r="E55" s="173"/>
      <c r="F55" s="173"/>
      <c r="G55" s="25"/>
      <c r="H55" s="91">
        <f>SUM(G56:G59)</f>
        <v>1191.49</v>
      </c>
    </row>
    <row r="56" spans="1:8" ht="30" customHeight="1" x14ac:dyDescent="0.25">
      <c r="A56" s="165" t="s">
        <v>129</v>
      </c>
      <c r="B56" s="6" t="s">
        <v>123</v>
      </c>
      <c r="C56" s="11" t="s">
        <v>135</v>
      </c>
      <c r="D56" s="5" t="s">
        <v>17</v>
      </c>
      <c r="E56" s="9">
        <v>4</v>
      </c>
      <c r="F56" s="7">
        <v>57.87</v>
      </c>
      <c r="G56" s="25">
        <f t="shared" ref="G56:G61" si="2">E56*F56</f>
        <v>231.48</v>
      </c>
    </row>
    <row r="57" spans="1:8" ht="30" customHeight="1" x14ac:dyDescent="0.25">
      <c r="A57" s="165" t="s">
        <v>140</v>
      </c>
      <c r="B57" s="6" t="s">
        <v>125</v>
      </c>
      <c r="C57" s="11" t="s">
        <v>139</v>
      </c>
      <c r="D57" s="5" t="s">
        <v>141</v>
      </c>
      <c r="E57" s="9">
        <v>1.5</v>
      </c>
      <c r="F57" s="7">
        <v>343.74</v>
      </c>
      <c r="G57" s="25">
        <f t="shared" si="2"/>
        <v>515.61</v>
      </c>
    </row>
    <row r="58" spans="1:8" ht="30" customHeight="1" x14ac:dyDescent="0.25">
      <c r="A58" s="165" t="s">
        <v>61</v>
      </c>
      <c r="B58" s="6" t="s">
        <v>124</v>
      </c>
      <c r="C58" s="1" t="s">
        <v>62</v>
      </c>
      <c r="D58" s="5" t="s">
        <v>19</v>
      </c>
      <c r="E58" s="9">
        <v>20</v>
      </c>
      <c r="F58" s="7">
        <v>13.05</v>
      </c>
      <c r="G58" s="25">
        <f t="shared" si="2"/>
        <v>261</v>
      </c>
    </row>
    <row r="59" spans="1:8" ht="30" customHeight="1" x14ac:dyDescent="0.25">
      <c r="A59" s="165" t="s">
        <v>142</v>
      </c>
      <c r="B59" s="6" t="s">
        <v>138</v>
      </c>
      <c r="C59" s="21" t="s">
        <v>143</v>
      </c>
      <c r="D59" s="5" t="s">
        <v>19</v>
      </c>
      <c r="E59" s="9">
        <v>20</v>
      </c>
      <c r="F59" s="7">
        <v>9.17</v>
      </c>
      <c r="G59" s="25">
        <f t="shared" si="2"/>
        <v>183.4</v>
      </c>
    </row>
    <row r="60" spans="1:8" ht="30" customHeight="1" x14ac:dyDescent="0.25">
      <c r="A60" s="164"/>
      <c r="B60" s="17" t="s">
        <v>77</v>
      </c>
      <c r="C60" s="173" t="s">
        <v>72</v>
      </c>
      <c r="D60" s="173"/>
      <c r="E60" s="173"/>
      <c r="F60" s="173"/>
      <c r="G60" s="25"/>
      <c r="H60" s="91">
        <f>G61</f>
        <v>3307.6889999999999</v>
      </c>
    </row>
    <row r="61" spans="1:8" ht="30" customHeight="1" thickBot="1" x14ac:dyDescent="0.3">
      <c r="A61" s="165" t="s">
        <v>58</v>
      </c>
      <c r="B61" s="19" t="s">
        <v>78</v>
      </c>
      <c r="C61" s="30" t="s">
        <v>57</v>
      </c>
      <c r="D61" s="31" t="s">
        <v>19</v>
      </c>
      <c r="E61" s="32">
        <v>1750.1</v>
      </c>
      <c r="F61" s="33">
        <v>1.89</v>
      </c>
      <c r="G61" s="34">
        <f t="shared" si="2"/>
        <v>3307.6889999999999</v>
      </c>
    </row>
    <row r="62" spans="1:8" ht="30" customHeight="1" thickBot="1" x14ac:dyDescent="0.3">
      <c r="A62" s="166"/>
      <c r="B62" s="35" t="s">
        <v>126</v>
      </c>
      <c r="C62" s="175" t="s">
        <v>55</v>
      </c>
      <c r="D62" s="176"/>
      <c r="E62" s="176"/>
      <c r="F62" s="177"/>
      <c r="G62" s="36">
        <f>SUM(G7:G61)</f>
        <v>110694.25000000001</v>
      </c>
    </row>
    <row r="63" spans="1:8" ht="30" customHeight="1" thickBot="1" x14ac:dyDescent="0.3">
      <c r="A63" s="167"/>
      <c r="B63" s="35" t="s">
        <v>127</v>
      </c>
      <c r="C63" s="158" t="s">
        <v>56</v>
      </c>
      <c r="D63" s="159"/>
      <c r="E63" s="159"/>
      <c r="F63" s="160">
        <f>BDI!E10</f>
        <v>0.37218831812106812</v>
      </c>
      <c r="G63" s="37">
        <f>G62*(1+F63)</f>
        <v>151893.35673317307</v>
      </c>
    </row>
    <row r="64" spans="1:8" x14ac:dyDescent="0.25">
      <c r="A64" s="168"/>
      <c r="B64" s="8"/>
    </row>
    <row r="66" spans="1:8" ht="15" customHeight="1" x14ac:dyDescent="0.25">
      <c r="A66" s="169"/>
      <c r="C66" s="16"/>
      <c r="D66" s="16"/>
      <c r="E66" s="16"/>
      <c r="F66" s="16"/>
      <c r="G66" s="4"/>
    </row>
    <row r="67" spans="1:8" x14ac:dyDescent="0.25">
      <c r="A67" s="168"/>
      <c r="B67" s="8"/>
    </row>
    <row r="68" spans="1:8" x14ac:dyDescent="0.25">
      <c r="A68" s="168"/>
      <c r="B68" s="8"/>
    </row>
    <row r="69" spans="1:8" x14ac:dyDescent="0.25">
      <c r="A69" s="168"/>
      <c r="B69" s="8"/>
      <c r="D69" s="20"/>
    </row>
    <row r="70" spans="1:8" x14ac:dyDescent="0.25">
      <c r="A70" s="168"/>
      <c r="B70" s="8"/>
    </row>
    <row r="71" spans="1:8" x14ac:dyDescent="0.25">
      <c r="A71" s="168"/>
      <c r="B71" s="8"/>
      <c r="D71" s="20"/>
    </row>
    <row r="72" spans="1:8" x14ac:dyDescent="0.25">
      <c r="A72" s="168"/>
      <c r="B72" s="8"/>
      <c r="E72" s="3">
        <f>5/8</f>
        <v>0.625</v>
      </c>
      <c r="F72" s="3">
        <v>2.54</v>
      </c>
      <c r="G72" s="3">
        <f>E72*F72*10</f>
        <v>15.875</v>
      </c>
      <c r="H72" t="s">
        <v>207</v>
      </c>
    </row>
    <row r="73" spans="1:8" x14ac:dyDescent="0.25">
      <c r="A73" s="168"/>
      <c r="B73" s="8"/>
      <c r="E73" s="3">
        <f>3/8</f>
        <v>0.375</v>
      </c>
      <c r="F73" s="10">
        <v>2.54</v>
      </c>
      <c r="G73" s="10">
        <f t="shared" ref="G73:G75" si="3">E73*F73*10</f>
        <v>9.5250000000000004</v>
      </c>
      <c r="H73" t="s">
        <v>207</v>
      </c>
    </row>
    <row r="74" spans="1:8" x14ac:dyDescent="0.25">
      <c r="A74" s="168"/>
      <c r="B74" s="170" t="s">
        <v>52</v>
      </c>
      <c r="C74" s="171"/>
      <c r="D74" s="4"/>
      <c r="E74" s="4">
        <f>1/4</f>
        <v>0.25</v>
      </c>
      <c r="F74" s="10">
        <v>2.54</v>
      </c>
      <c r="G74" s="10">
        <f t="shared" si="3"/>
        <v>6.35</v>
      </c>
      <c r="H74" t="s">
        <v>207</v>
      </c>
    </row>
    <row r="75" spans="1:8" x14ac:dyDescent="0.25">
      <c r="A75" s="168"/>
      <c r="B75" s="8"/>
      <c r="E75" s="3">
        <f>1/2</f>
        <v>0.5</v>
      </c>
      <c r="F75" s="10">
        <v>2.54</v>
      </c>
      <c r="G75" s="10">
        <f t="shared" si="3"/>
        <v>12.7</v>
      </c>
      <c r="H75" t="s">
        <v>207</v>
      </c>
    </row>
    <row r="76" spans="1:8" x14ac:dyDescent="0.25">
      <c r="A76" s="168"/>
      <c r="B76" s="8"/>
    </row>
    <row r="77" spans="1:8" x14ac:dyDescent="0.25">
      <c r="A77" s="168"/>
      <c r="B77" s="8"/>
    </row>
    <row r="78" spans="1:8" x14ac:dyDescent="0.25">
      <c r="A78" s="168"/>
      <c r="B78" s="8"/>
    </row>
    <row r="79" spans="1:8" x14ac:dyDescent="0.25">
      <c r="A79" s="168"/>
      <c r="B79" s="8"/>
    </row>
    <row r="80" spans="1:8" x14ac:dyDescent="0.25">
      <c r="A80" s="168"/>
      <c r="B80" s="8"/>
    </row>
    <row r="81" spans="1:2" x14ac:dyDescent="0.25">
      <c r="A81" s="168"/>
      <c r="B81" s="8"/>
    </row>
  </sheetData>
  <mergeCells count="14">
    <mergeCell ref="B74:C74"/>
    <mergeCell ref="B1:H1"/>
    <mergeCell ref="C55:F55"/>
    <mergeCell ref="C20:F20"/>
    <mergeCell ref="C10:F10"/>
    <mergeCell ref="C7:F7"/>
    <mergeCell ref="C60:F60"/>
    <mergeCell ref="C62:F62"/>
    <mergeCell ref="A2:G2"/>
    <mergeCell ref="A3:D3"/>
    <mergeCell ref="E3:G3"/>
    <mergeCell ref="A4:D4"/>
    <mergeCell ref="A5:D5"/>
    <mergeCell ref="E5:G5"/>
  </mergeCells>
  <hyperlinks>
    <hyperlink ref="B74" r:id="rId1"/>
  </hyperlinks>
  <pageMargins left="0.51181102362204722" right="0.51181102362204722" top="0.78740157480314965" bottom="0.78740157480314965" header="0.31496062992125984" footer="0.31496062992125984"/>
  <pageSetup paperSize="9" scale="60" orientation="portrait" r:id="rId2"/>
  <rowBreaks count="2" manualBreakCount="2">
    <brk id="37" max="6" man="1"/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K41"/>
  <sheetViews>
    <sheetView workbookViewId="0">
      <selection activeCell="D4" sqref="D4:K41"/>
    </sheetView>
  </sheetViews>
  <sheetFormatPr defaultRowHeight="15" x14ac:dyDescent="0.25"/>
  <sheetData>
    <row r="3" spans="4:11" ht="15.75" thickBot="1" x14ac:dyDescent="0.3"/>
    <row r="4" spans="4:11" x14ac:dyDescent="0.25">
      <c r="D4" s="118"/>
      <c r="E4" s="119"/>
      <c r="F4" s="119"/>
      <c r="G4" s="119"/>
      <c r="H4" s="119"/>
      <c r="I4" s="119"/>
      <c r="J4" s="119"/>
      <c r="K4" s="120"/>
    </row>
    <row r="5" spans="4:11" x14ac:dyDescent="0.25">
      <c r="D5" s="121"/>
      <c r="E5" s="122"/>
      <c r="F5" s="122"/>
      <c r="G5" s="122"/>
      <c r="H5" s="122"/>
      <c r="I5" s="122"/>
      <c r="J5" s="122"/>
      <c r="K5" s="123"/>
    </row>
    <row r="6" spans="4:11" x14ac:dyDescent="0.25">
      <c r="D6" s="121"/>
      <c r="E6" s="122"/>
      <c r="F6" s="122"/>
      <c r="G6" s="122"/>
      <c r="H6" s="122"/>
      <c r="I6" s="122"/>
      <c r="J6" s="122"/>
      <c r="K6" s="123"/>
    </row>
    <row r="7" spans="4:11" x14ac:dyDescent="0.25">
      <c r="D7" s="121"/>
      <c r="E7" s="122"/>
      <c r="F7" s="122"/>
      <c r="G7" s="122"/>
      <c r="H7" s="122"/>
      <c r="I7" s="122"/>
      <c r="J7" s="122"/>
      <c r="K7" s="123"/>
    </row>
    <row r="8" spans="4:11" x14ac:dyDescent="0.25">
      <c r="D8" s="121"/>
      <c r="E8" s="122"/>
      <c r="F8" s="122"/>
      <c r="G8" s="122"/>
      <c r="H8" s="122"/>
      <c r="I8" s="122"/>
      <c r="J8" s="122"/>
      <c r="K8" s="123"/>
    </row>
    <row r="9" spans="4:11" ht="15.75" thickBot="1" x14ac:dyDescent="0.3">
      <c r="D9" s="124"/>
      <c r="E9" s="125"/>
      <c r="F9" s="125"/>
      <c r="G9" s="125"/>
      <c r="H9" s="125"/>
      <c r="I9" s="125"/>
      <c r="J9" s="125"/>
      <c r="K9" s="126"/>
    </row>
    <row r="10" spans="4:11" ht="15.75" thickBot="1" x14ac:dyDescent="0.3">
      <c r="D10" s="127" t="s">
        <v>169</v>
      </c>
      <c r="E10" s="128">
        <f>(((((1+E12/100)*(1+E13/100)*(1+E14/100)*(1+E15/100))/(1-(E16/100))-1)*100))/100</f>
        <v>0.37218831812106812</v>
      </c>
      <c r="F10" s="129"/>
      <c r="G10" s="129"/>
      <c r="H10" s="129"/>
      <c r="I10" s="129"/>
      <c r="J10" s="129"/>
      <c r="K10" s="130"/>
    </row>
    <row r="11" spans="4:11" x14ac:dyDescent="0.25">
      <c r="D11" s="118" t="s">
        <v>170</v>
      </c>
      <c r="E11" s="119"/>
      <c r="F11" s="119"/>
      <c r="G11" s="119"/>
      <c r="H11" s="119"/>
      <c r="I11" s="119"/>
      <c r="J11" s="119"/>
      <c r="K11" s="120"/>
    </row>
    <row r="12" spans="4:11" x14ac:dyDescent="0.25">
      <c r="D12" s="131" t="s">
        <v>171</v>
      </c>
      <c r="E12" s="132">
        <v>5</v>
      </c>
      <c r="F12" s="122" t="s">
        <v>172</v>
      </c>
      <c r="G12" s="122"/>
      <c r="H12" s="122"/>
      <c r="I12" s="122"/>
      <c r="J12" s="122"/>
      <c r="K12" s="123"/>
    </row>
    <row r="13" spans="4:11" x14ac:dyDescent="0.25">
      <c r="D13" s="131" t="s">
        <v>173</v>
      </c>
      <c r="E13" s="132">
        <v>1.23</v>
      </c>
      <c r="F13" s="122" t="s">
        <v>174</v>
      </c>
      <c r="G13" s="122"/>
      <c r="H13" s="122"/>
      <c r="I13" s="122"/>
      <c r="J13" s="122"/>
      <c r="K13" s="123"/>
    </row>
    <row r="14" spans="4:11" x14ac:dyDescent="0.25">
      <c r="D14" s="131" t="s">
        <v>175</v>
      </c>
      <c r="E14" s="132">
        <v>1.27</v>
      </c>
      <c r="F14" s="122" t="s">
        <v>176</v>
      </c>
      <c r="G14" s="122"/>
      <c r="H14" s="122"/>
      <c r="I14" s="122"/>
      <c r="J14" s="122"/>
      <c r="K14" s="123"/>
    </row>
    <row r="15" spans="4:11" x14ac:dyDescent="0.25">
      <c r="D15" s="131" t="s">
        <v>177</v>
      </c>
      <c r="E15" s="132">
        <v>7.4</v>
      </c>
      <c r="F15" s="122" t="s">
        <v>178</v>
      </c>
      <c r="G15" s="122"/>
      <c r="H15" s="122"/>
      <c r="I15" s="122"/>
      <c r="J15" s="122"/>
      <c r="K15" s="123"/>
    </row>
    <row r="16" spans="4:11" ht="15.75" thickBot="1" x14ac:dyDescent="0.3">
      <c r="D16" s="133" t="s">
        <v>179</v>
      </c>
      <c r="E16" s="134">
        <v>15.75</v>
      </c>
      <c r="F16" s="125" t="s">
        <v>180</v>
      </c>
      <c r="G16" s="125"/>
      <c r="H16" s="125"/>
      <c r="I16" s="125"/>
      <c r="J16" s="125"/>
      <c r="K16" s="126"/>
    </row>
    <row r="17" spans="4:11" x14ac:dyDescent="0.25">
      <c r="D17" s="135"/>
    </row>
    <row r="18" spans="4:11" x14ac:dyDescent="0.25">
      <c r="D18" s="135"/>
    </row>
    <row r="19" spans="4:11" x14ac:dyDescent="0.25">
      <c r="D19" s="135"/>
    </row>
    <row r="20" spans="4:11" ht="15.75" x14ac:dyDescent="0.25">
      <c r="D20" s="136" t="s">
        <v>181</v>
      </c>
      <c r="E20" s="196" t="s">
        <v>182</v>
      </c>
      <c r="F20" s="196"/>
      <c r="G20" s="197"/>
      <c r="H20" s="137"/>
      <c r="I20" s="138"/>
      <c r="J20" s="139"/>
      <c r="K20" s="139"/>
    </row>
    <row r="21" spans="4:11" x14ac:dyDescent="0.25">
      <c r="D21" s="140"/>
      <c r="E21" s="141"/>
      <c r="F21" s="141"/>
      <c r="G21" s="142"/>
      <c r="H21" s="143"/>
      <c r="I21" s="143"/>
      <c r="J21" s="139"/>
      <c r="K21" s="139"/>
    </row>
    <row r="22" spans="4:11" x14ac:dyDescent="0.25">
      <c r="D22" s="198" t="s">
        <v>183</v>
      </c>
      <c r="E22" s="199"/>
      <c r="F22" s="199" t="s">
        <v>184</v>
      </c>
      <c r="G22" s="200"/>
      <c r="H22" s="143"/>
      <c r="I22" s="143"/>
      <c r="J22" s="139"/>
      <c r="K22" s="139"/>
    </row>
    <row r="23" spans="4:11" x14ac:dyDescent="0.25">
      <c r="D23" s="144" t="s">
        <v>185</v>
      </c>
      <c r="E23" s="144"/>
      <c r="F23" s="144" t="s">
        <v>186</v>
      </c>
      <c r="G23" s="144"/>
      <c r="H23" s="145"/>
      <c r="I23" s="146"/>
      <c r="J23" s="139"/>
      <c r="K23" s="139"/>
    </row>
    <row r="24" spans="4:11" x14ac:dyDescent="0.25">
      <c r="D24" s="147"/>
      <c r="E24" s="148">
        <v>1</v>
      </c>
      <c r="F24" s="149" t="s">
        <v>187</v>
      </c>
      <c r="G24" s="150">
        <v>0.04</v>
      </c>
    </row>
    <row r="25" spans="4:11" x14ac:dyDescent="0.25">
      <c r="D25" s="147"/>
      <c r="E25" s="148">
        <v>2</v>
      </c>
      <c r="F25" s="149" t="s">
        <v>188</v>
      </c>
      <c r="G25" s="150">
        <v>0.01</v>
      </c>
    </row>
    <row r="26" spans="4:11" x14ac:dyDescent="0.25">
      <c r="D26" s="147"/>
      <c r="E26" s="148">
        <v>3</v>
      </c>
      <c r="F26" s="149" t="s">
        <v>189</v>
      </c>
      <c r="G26" s="150">
        <v>1.2699999999999999E-2</v>
      </c>
    </row>
    <row r="27" spans="4:11" x14ac:dyDescent="0.25">
      <c r="D27" s="147"/>
      <c r="E27" s="148">
        <v>4</v>
      </c>
      <c r="F27" s="149" t="s">
        <v>190</v>
      </c>
      <c r="G27" s="150">
        <v>1.23E-2</v>
      </c>
    </row>
    <row r="28" spans="4:11" x14ac:dyDescent="0.25">
      <c r="D28" s="151"/>
      <c r="E28" s="152"/>
      <c r="F28" s="152"/>
      <c r="G28" s="153">
        <f>SUM(G24:G27)</f>
        <v>7.5000000000000011E-2</v>
      </c>
    </row>
    <row r="29" spans="4:11" x14ac:dyDescent="0.25">
      <c r="D29" s="140"/>
      <c r="E29" s="141"/>
      <c r="F29" s="141"/>
      <c r="G29" s="142"/>
    </row>
    <row r="30" spans="4:11" x14ac:dyDescent="0.25">
      <c r="D30" s="144" t="s">
        <v>191</v>
      </c>
      <c r="E30" s="144"/>
      <c r="F30" s="144" t="s">
        <v>192</v>
      </c>
      <c r="G30" s="144"/>
    </row>
    <row r="31" spans="4:11" x14ac:dyDescent="0.25">
      <c r="D31" s="147"/>
      <c r="E31" s="148">
        <v>1</v>
      </c>
      <c r="F31" s="149" t="s">
        <v>193</v>
      </c>
      <c r="G31" s="150">
        <v>7.5999999999999998E-2</v>
      </c>
      <c r="J31" s="154"/>
    </row>
    <row r="32" spans="4:11" x14ac:dyDescent="0.25">
      <c r="D32" s="147"/>
      <c r="E32" s="148">
        <v>2</v>
      </c>
      <c r="F32" s="149" t="s">
        <v>194</v>
      </c>
      <c r="G32" s="150">
        <v>1.6500000000000001E-2</v>
      </c>
    </row>
    <row r="33" spans="4:11" x14ac:dyDescent="0.25">
      <c r="D33" s="147"/>
      <c r="E33" s="148">
        <v>3</v>
      </c>
      <c r="F33" s="149" t="s">
        <v>195</v>
      </c>
      <c r="G33" s="155">
        <v>0.02</v>
      </c>
    </row>
    <row r="34" spans="4:11" x14ac:dyDescent="0.25">
      <c r="D34" s="147"/>
      <c r="E34" s="148">
        <v>4</v>
      </c>
      <c r="F34" s="149" t="s">
        <v>196</v>
      </c>
      <c r="G34" s="155">
        <v>4.4999999999999998E-2</v>
      </c>
    </row>
    <row r="35" spans="4:11" x14ac:dyDescent="0.25">
      <c r="D35" s="140"/>
      <c r="E35" s="141"/>
      <c r="F35" s="141"/>
      <c r="G35" s="142"/>
    </row>
    <row r="36" spans="4:11" x14ac:dyDescent="0.25">
      <c r="D36" s="144" t="s">
        <v>197</v>
      </c>
      <c r="E36" s="144"/>
      <c r="F36" s="144" t="s">
        <v>198</v>
      </c>
      <c r="G36" s="156">
        <f>SUM(G31:G34)</f>
        <v>0.1575</v>
      </c>
    </row>
    <row r="37" spans="4:11" x14ac:dyDescent="0.25">
      <c r="D37" s="147"/>
      <c r="E37" s="148">
        <v>1</v>
      </c>
      <c r="F37" s="149" t="s">
        <v>199</v>
      </c>
      <c r="G37" s="150">
        <v>7.3999999999999996E-2</v>
      </c>
    </row>
    <row r="38" spans="4:11" x14ac:dyDescent="0.25">
      <c r="D38" s="147"/>
      <c r="E38" s="148">
        <v>2</v>
      </c>
      <c r="F38" s="149"/>
      <c r="G38" s="150"/>
      <c r="H38" s="157"/>
      <c r="I38" s="143"/>
      <c r="J38" s="143"/>
      <c r="K38" s="143"/>
    </row>
    <row r="39" spans="4:11" x14ac:dyDescent="0.25">
      <c r="D39" s="147"/>
      <c r="E39" s="148">
        <v>3</v>
      </c>
      <c r="F39" s="149"/>
      <c r="G39" s="150"/>
      <c r="H39" s="157"/>
      <c r="I39" s="143"/>
      <c r="J39" s="143"/>
      <c r="K39" s="143"/>
    </row>
    <row r="40" spans="4:11" x14ac:dyDescent="0.25">
      <c r="D40" s="147"/>
      <c r="E40" s="148">
        <v>4</v>
      </c>
      <c r="F40" s="149"/>
      <c r="G40" s="150"/>
      <c r="H40" s="157"/>
      <c r="I40" s="143"/>
      <c r="J40" s="143"/>
      <c r="K40" s="143"/>
    </row>
    <row r="41" spans="4:11" x14ac:dyDescent="0.25">
      <c r="D41" s="151"/>
      <c r="E41" s="152"/>
      <c r="F41" s="152"/>
      <c r="G41" s="153">
        <f>G37</f>
        <v>7.3999999999999996E-2</v>
      </c>
      <c r="H41" s="143"/>
      <c r="I41" s="143"/>
      <c r="J41" s="143"/>
      <c r="K41" s="143"/>
    </row>
  </sheetData>
  <mergeCells count="3">
    <mergeCell ref="E20:G20"/>
    <mergeCell ref="D22:E22"/>
    <mergeCell ref="F22:G22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="90" zoomScaleNormal="90" workbookViewId="0">
      <selection activeCell="A2" sqref="A2:K22"/>
    </sheetView>
  </sheetViews>
  <sheetFormatPr defaultRowHeight="15" x14ac:dyDescent="0.25"/>
  <cols>
    <col min="2" max="2" width="47.42578125" customWidth="1"/>
    <col min="3" max="3" width="17.7109375" bestFit="1" customWidth="1"/>
    <col min="4" max="4" width="27" customWidth="1"/>
    <col min="5" max="5" width="16.85546875" bestFit="1" customWidth="1"/>
    <col min="6" max="6" width="21.5703125" bestFit="1" customWidth="1"/>
    <col min="7" max="7" width="14.42578125" customWidth="1"/>
    <col min="8" max="8" width="14.140625" customWidth="1"/>
    <col min="9" max="9" width="16.28515625" customWidth="1"/>
    <col min="10" max="10" width="16.42578125" customWidth="1"/>
    <col min="11" max="11" width="14.42578125" customWidth="1"/>
    <col min="13" max="13" width="12.7109375" bestFit="1" customWidth="1"/>
  </cols>
  <sheetData>
    <row r="1" spans="1:13" ht="15.75" thickBot="1" x14ac:dyDescent="0.3"/>
    <row r="2" spans="1:13" ht="15.75" thickBot="1" x14ac:dyDescent="0.3">
      <c r="A2" s="201" t="s">
        <v>160</v>
      </c>
      <c r="B2" s="202"/>
      <c r="C2" s="202"/>
      <c r="D2" s="202"/>
      <c r="E2" s="202"/>
      <c r="F2" s="202"/>
      <c r="G2" s="202"/>
      <c r="H2" s="202"/>
      <c r="I2" s="202"/>
      <c r="J2" s="202"/>
      <c r="K2" s="203"/>
    </row>
    <row r="3" spans="1:13" ht="15.75" thickBot="1" x14ac:dyDescent="0.3">
      <c r="A3" s="38"/>
      <c r="B3" s="39"/>
      <c r="C3" s="204" t="s">
        <v>147</v>
      </c>
      <c r="D3" s="204"/>
      <c r="E3" s="204"/>
      <c r="F3" s="204"/>
      <c r="G3" s="204"/>
      <c r="H3" s="204"/>
      <c r="I3" s="204"/>
      <c r="J3" s="204"/>
      <c r="K3" s="40"/>
    </row>
    <row r="4" spans="1:13" x14ac:dyDescent="0.25">
      <c r="A4" s="205" t="s">
        <v>0</v>
      </c>
      <c r="B4" s="207" t="s">
        <v>148</v>
      </c>
      <c r="C4" s="209" t="s">
        <v>162</v>
      </c>
      <c r="D4" s="210"/>
      <c r="E4" s="209" t="s">
        <v>163</v>
      </c>
      <c r="F4" s="210"/>
      <c r="G4" s="209" t="s">
        <v>164</v>
      </c>
      <c r="H4" s="210"/>
      <c r="I4" s="209" t="s">
        <v>167</v>
      </c>
      <c r="J4" s="210"/>
      <c r="K4" s="211" t="s">
        <v>3</v>
      </c>
    </row>
    <row r="5" spans="1:13" ht="15.75" thickBot="1" x14ac:dyDescent="0.3">
      <c r="A5" s="206"/>
      <c r="B5" s="208"/>
      <c r="C5" s="41" t="s">
        <v>149</v>
      </c>
      <c r="D5" s="42" t="s">
        <v>150</v>
      </c>
      <c r="E5" s="41" t="s">
        <v>149</v>
      </c>
      <c r="F5" s="42" t="s">
        <v>150</v>
      </c>
      <c r="G5" s="41" t="s">
        <v>149</v>
      </c>
      <c r="H5" s="42" t="s">
        <v>150</v>
      </c>
      <c r="I5" s="41" t="s">
        <v>149</v>
      </c>
      <c r="J5" s="42" t="s">
        <v>150</v>
      </c>
      <c r="K5" s="212"/>
    </row>
    <row r="6" spans="1:13" ht="30" customHeight="1" x14ac:dyDescent="0.25">
      <c r="A6" s="43" t="s">
        <v>73</v>
      </c>
      <c r="B6" s="44" t="s">
        <v>70</v>
      </c>
      <c r="C6" s="45">
        <v>0.25</v>
      </c>
      <c r="D6" s="46">
        <f>C6*K6</f>
        <v>5076.8</v>
      </c>
      <c r="E6" s="99">
        <v>0.25</v>
      </c>
      <c r="F6" s="47">
        <f>K6*E6</f>
        <v>5076.8</v>
      </c>
      <c r="G6" s="99">
        <v>0.25</v>
      </c>
      <c r="H6" s="46">
        <f>G6*K6</f>
        <v>5076.8</v>
      </c>
      <c r="I6" s="48">
        <v>0.25</v>
      </c>
      <c r="J6" s="46">
        <f>I6*K6</f>
        <v>5076.8</v>
      </c>
      <c r="K6" s="92">
        <f>'Planilha-Orç'!H7</f>
        <v>20307.2</v>
      </c>
      <c r="M6" s="90"/>
    </row>
    <row r="7" spans="1:13" ht="30" customHeight="1" x14ac:dyDescent="0.25">
      <c r="A7" s="49" t="s">
        <v>74</v>
      </c>
      <c r="B7" s="50" t="s">
        <v>151</v>
      </c>
      <c r="C7" s="95">
        <v>0.5</v>
      </c>
      <c r="D7" s="51">
        <f>K7*C7</f>
        <v>16238.259999999998</v>
      </c>
      <c r="E7" s="96">
        <v>0.3</v>
      </c>
      <c r="F7" s="52">
        <f>K7*E7</f>
        <v>9742.9559999999983</v>
      </c>
      <c r="G7" s="53">
        <v>0.2</v>
      </c>
      <c r="H7" s="54">
        <f>K7*G7</f>
        <v>6495.3040000000001</v>
      </c>
      <c r="I7" s="55"/>
      <c r="J7" s="54"/>
      <c r="K7" s="93">
        <f>'Planilha-Orç'!H10</f>
        <v>32476.519999999997</v>
      </c>
    </row>
    <row r="8" spans="1:13" ht="30" customHeight="1" x14ac:dyDescent="0.25">
      <c r="A8" s="49" t="s">
        <v>75</v>
      </c>
      <c r="B8" s="50" t="s">
        <v>69</v>
      </c>
      <c r="C8" s="97"/>
      <c r="D8" s="54"/>
      <c r="E8" s="53">
        <v>0.3</v>
      </c>
      <c r="F8" s="54">
        <f>K8*E8</f>
        <v>16023.4053</v>
      </c>
      <c r="G8" s="53">
        <v>0.3</v>
      </c>
      <c r="H8" s="54">
        <f>K8*G8</f>
        <v>16023.4053</v>
      </c>
      <c r="I8" s="57">
        <v>0.4</v>
      </c>
      <c r="J8" s="98">
        <f>K8*I8</f>
        <v>21364.540400000002</v>
      </c>
      <c r="K8" s="93">
        <f>'Planilha-Orç'!H20</f>
        <v>53411.351000000002</v>
      </c>
    </row>
    <row r="9" spans="1:13" ht="30" customHeight="1" x14ac:dyDescent="0.25">
      <c r="A9" s="49" t="s">
        <v>76</v>
      </c>
      <c r="B9" s="50" t="s">
        <v>161</v>
      </c>
      <c r="C9" s="97"/>
      <c r="D9" s="54"/>
      <c r="E9" s="56">
        <v>0.1</v>
      </c>
      <c r="F9" s="54">
        <f>K9*E9</f>
        <v>119.149</v>
      </c>
      <c r="G9" s="53">
        <v>0.2</v>
      </c>
      <c r="H9" s="54">
        <f>G9*K9</f>
        <v>238.298</v>
      </c>
      <c r="I9" s="57">
        <v>0.7</v>
      </c>
      <c r="J9" s="98">
        <f>I9*K9</f>
        <v>834.04300000000001</v>
      </c>
      <c r="K9" s="93">
        <f>'Planilha-Orç'!H55</f>
        <v>1191.49</v>
      </c>
    </row>
    <row r="10" spans="1:13" ht="30" customHeight="1" thickBot="1" x14ac:dyDescent="0.3">
      <c r="A10" s="58" t="s">
        <v>77</v>
      </c>
      <c r="B10" s="59" t="s">
        <v>72</v>
      </c>
      <c r="C10" s="60" t="s">
        <v>27</v>
      </c>
      <c r="D10" s="61"/>
      <c r="E10" s="62"/>
      <c r="F10" s="61"/>
      <c r="G10" s="63">
        <v>0.2</v>
      </c>
      <c r="H10" s="61">
        <f>G10*K10</f>
        <v>661.53780000000006</v>
      </c>
      <c r="I10" s="63">
        <v>0.8</v>
      </c>
      <c r="J10" s="61">
        <f>K10*I10</f>
        <v>2646.1512000000002</v>
      </c>
      <c r="K10" s="94">
        <f>'Planilha-Orç'!H60</f>
        <v>3307.6889999999999</v>
      </c>
      <c r="M10" s="90"/>
    </row>
    <row r="11" spans="1:13" ht="30" customHeight="1" thickBot="1" x14ac:dyDescent="0.3">
      <c r="A11" s="64"/>
      <c r="B11" s="64"/>
      <c r="C11" s="65"/>
      <c r="D11" s="66"/>
      <c r="E11" s="65"/>
      <c r="F11" s="66"/>
      <c r="G11" s="65"/>
      <c r="H11" s="66"/>
      <c r="I11" s="67"/>
      <c r="J11" s="66"/>
      <c r="K11" s="68"/>
    </row>
    <row r="12" spans="1:13" ht="15.75" thickBot="1" x14ac:dyDescent="0.3">
      <c r="A12" s="102" t="s">
        <v>126</v>
      </c>
      <c r="B12" s="103" t="s">
        <v>55</v>
      </c>
      <c r="C12" s="104" t="s">
        <v>27</v>
      </c>
      <c r="D12" s="105"/>
      <c r="E12" s="106"/>
      <c r="F12" s="105"/>
      <c r="G12" s="106" t="s">
        <v>27</v>
      </c>
      <c r="H12" s="105"/>
      <c r="I12" s="107"/>
      <c r="J12" s="105"/>
      <c r="K12" s="108">
        <f>SUM(K6:K10)</f>
        <v>110694.25</v>
      </c>
      <c r="M12" s="100" t="s">
        <v>168</v>
      </c>
    </row>
    <row r="13" spans="1:13" ht="15.75" thickBot="1" x14ac:dyDescent="0.3">
      <c r="A13" s="109" t="s">
        <v>127</v>
      </c>
      <c r="B13" s="110" t="s">
        <v>152</v>
      </c>
      <c r="C13" s="111" t="s">
        <v>27</v>
      </c>
      <c r="D13" s="112"/>
      <c r="E13" s="113"/>
      <c r="F13" s="112"/>
      <c r="G13" s="113" t="s">
        <v>27</v>
      </c>
      <c r="H13" s="112"/>
      <c r="I13" s="114"/>
      <c r="J13" s="112"/>
      <c r="K13" s="115">
        <f>K12*(1+M13)</f>
        <v>151893.35673317304</v>
      </c>
      <c r="M13" s="101">
        <f>'Planilha-Orç'!F63</f>
        <v>0.37218831812106812</v>
      </c>
    </row>
    <row r="14" spans="1:13" ht="15.75" thickBot="1" x14ac:dyDescent="0.3">
      <c r="A14" s="64"/>
      <c r="B14" s="64"/>
      <c r="C14" s="65"/>
      <c r="D14" s="66"/>
      <c r="E14" s="65"/>
      <c r="F14" s="66"/>
      <c r="G14" s="65"/>
      <c r="H14" s="66"/>
      <c r="I14" s="67"/>
      <c r="J14" s="66"/>
      <c r="K14" s="68"/>
      <c r="M14" s="101"/>
    </row>
    <row r="15" spans="1:13" ht="15.75" thickBot="1" x14ac:dyDescent="0.3">
      <c r="A15" s="64"/>
      <c r="B15" s="64"/>
      <c r="C15" s="213" t="s">
        <v>162</v>
      </c>
      <c r="D15" s="214"/>
      <c r="E15" s="213" t="s">
        <v>163</v>
      </c>
      <c r="F15" s="214"/>
      <c r="G15" s="213" t="s">
        <v>164</v>
      </c>
      <c r="H15" s="214"/>
      <c r="I15" s="213" t="s">
        <v>167</v>
      </c>
      <c r="J15" s="214"/>
      <c r="K15" s="68"/>
    </row>
    <row r="16" spans="1:13" ht="15.75" thickBot="1" x14ac:dyDescent="0.3">
      <c r="A16" s="64"/>
      <c r="B16" s="69" t="s">
        <v>153</v>
      </c>
      <c r="C16" s="70">
        <f>D16/$K$13</f>
        <v>0.1925579693615522</v>
      </c>
      <c r="D16" s="71">
        <f>SUM(D6:D10)*(1+$M$13)</f>
        <v>29248.276332049652</v>
      </c>
      <c r="E16" s="70">
        <f>F16/$K$13</f>
        <v>0.27971019542568831</v>
      </c>
      <c r="F16" s="71">
        <f>SUM(F6:F10)*(1+$M$13)</f>
        <v>42486.120495699623</v>
      </c>
      <c r="G16" s="70">
        <f>H16/$K$13</f>
        <v>0.25742389600182486</v>
      </c>
      <c r="H16" s="71">
        <f>SUM(H6:H10)*(1+$M$13)</f>
        <v>39100.979667048421</v>
      </c>
      <c r="I16" s="70">
        <f>J16/$K$13</f>
        <v>0.27030793921093466</v>
      </c>
      <c r="J16" s="71">
        <f>SUM(J6:J10)*(1+$M$13)</f>
        <v>41057.980238375349</v>
      </c>
      <c r="K16" s="68"/>
    </row>
    <row r="17" spans="1:11" ht="15.75" thickBot="1" x14ac:dyDescent="0.3">
      <c r="A17" s="64"/>
      <c r="B17" s="72" t="s">
        <v>154</v>
      </c>
      <c r="C17" s="73">
        <f>D17/K13</f>
        <v>0.1925579693615522</v>
      </c>
      <c r="D17" s="74">
        <f>D16</f>
        <v>29248.276332049652</v>
      </c>
      <c r="E17" s="75">
        <f>F17/K13</f>
        <v>0.47226816478724049</v>
      </c>
      <c r="F17" s="74">
        <f>F16+D17</f>
        <v>71734.396827749268</v>
      </c>
      <c r="G17" s="73">
        <f>H17/K13</f>
        <v>0.72969206078906534</v>
      </c>
      <c r="H17" s="74">
        <f>H16+F17</f>
        <v>110835.37649479769</v>
      </c>
      <c r="I17" s="76">
        <f>J17/K13</f>
        <v>1</v>
      </c>
      <c r="J17" s="74">
        <f>J16+H17</f>
        <v>151893.35673317304</v>
      </c>
      <c r="K17" s="68"/>
    </row>
    <row r="18" spans="1:11" ht="15.75" thickBot="1" x14ac:dyDescent="0.3">
      <c r="A18" s="64"/>
      <c r="B18" s="64"/>
      <c r="C18" s="65"/>
      <c r="D18" s="66"/>
      <c r="E18" s="65"/>
      <c r="F18" s="66"/>
      <c r="G18" s="65"/>
      <c r="H18" s="66"/>
      <c r="I18" s="67"/>
      <c r="J18" s="66"/>
      <c r="K18" s="68"/>
    </row>
    <row r="19" spans="1:11" ht="26.25" customHeight="1" thickBot="1" x14ac:dyDescent="0.3">
      <c r="A19" s="64"/>
      <c r="B19" s="64"/>
      <c r="C19" s="88" t="s">
        <v>155</v>
      </c>
      <c r="D19" s="89" t="s">
        <v>156</v>
      </c>
      <c r="E19" s="88" t="s">
        <v>157</v>
      </c>
      <c r="F19" s="89" t="s">
        <v>158</v>
      </c>
      <c r="G19" s="65"/>
      <c r="H19" s="66"/>
      <c r="I19" s="67"/>
      <c r="J19" s="66"/>
      <c r="K19" s="68"/>
    </row>
    <row r="20" spans="1:11" ht="16.5" thickBot="1" x14ac:dyDescent="0.3">
      <c r="A20" s="77"/>
      <c r="B20" s="117" t="s">
        <v>165</v>
      </c>
      <c r="C20" s="78">
        <f>E17</f>
        <v>0.47226816478724049</v>
      </c>
      <c r="D20" s="79">
        <f>F17</f>
        <v>71734.396827749268</v>
      </c>
      <c r="E20" s="80">
        <f>D20</f>
        <v>71734.396827749268</v>
      </c>
      <c r="F20" s="78">
        <f>C20</f>
        <v>0.47226816478724049</v>
      </c>
      <c r="G20" s="81"/>
      <c r="H20" s="81"/>
      <c r="I20" s="81"/>
      <c r="J20" s="81"/>
      <c r="K20" s="81"/>
    </row>
    <row r="21" spans="1:11" ht="32.25" thickBot="1" x14ac:dyDescent="0.3">
      <c r="A21" s="77"/>
      <c r="B21" s="117" t="s">
        <v>166</v>
      </c>
      <c r="C21" s="82">
        <f>1-C20-0.1</f>
        <v>0.42773183521275959</v>
      </c>
      <c r="D21" s="83">
        <f>K13*C21</f>
        <v>64969.624232106478</v>
      </c>
      <c r="E21" s="84">
        <f>E20+D21</f>
        <v>136704.02105985576</v>
      </c>
      <c r="F21" s="82">
        <v>0.9</v>
      </c>
      <c r="G21" s="81"/>
      <c r="H21" s="81"/>
      <c r="I21" s="81"/>
      <c r="J21" s="81"/>
      <c r="K21" s="81"/>
    </row>
    <row r="22" spans="1:11" ht="32.25" thickBot="1" x14ac:dyDescent="0.3">
      <c r="A22" s="77"/>
      <c r="B22" s="116" t="s">
        <v>159</v>
      </c>
      <c r="C22" s="82">
        <f>D22/K13</f>
        <v>0.1</v>
      </c>
      <c r="D22" s="83">
        <f>K13*0.1</f>
        <v>15189.335673317306</v>
      </c>
      <c r="E22" s="85">
        <f>E21+D22</f>
        <v>151893.35673317307</v>
      </c>
      <c r="F22" s="86">
        <f>F21+C22</f>
        <v>1</v>
      </c>
      <c r="G22" s="87"/>
      <c r="H22" s="87"/>
      <c r="I22" s="87"/>
      <c r="J22" s="87"/>
      <c r="K22" s="87"/>
    </row>
  </sheetData>
  <mergeCells count="13">
    <mergeCell ref="C15:D15"/>
    <mergeCell ref="E15:F15"/>
    <mergeCell ref="G15:H15"/>
    <mergeCell ref="I15:J15"/>
    <mergeCell ref="A2:K2"/>
    <mergeCell ref="C3:J3"/>
    <mergeCell ref="A4:A5"/>
    <mergeCell ref="B4:B5"/>
    <mergeCell ref="C4:D4"/>
    <mergeCell ref="E4:F4"/>
    <mergeCell ref="G4:H4"/>
    <mergeCell ref="I4:J4"/>
    <mergeCell ref="K4:K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Planilha-Orç</vt:lpstr>
      <vt:lpstr>BDI</vt:lpstr>
      <vt:lpstr>Cronograma-físico-fin</vt:lpstr>
      <vt:lpstr>'Planilha-Orç'!Area_de_impressao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ubirajara.silva</dc:creator>
  <cp:lastModifiedBy>clau.ferreira</cp:lastModifiedBy>
  <cp:lastPrinted>2015-11-19T18:10:17Z</cp:lastPrinted>
  <dcterms:created xsi:type="dcterms:W3CDTF">2015-11-17T17:21:59Z</dcterms:created>
  <dcterms:modified xsi:type="dcterms:W3CDTF">2016-08-17T13:01:52Z</dcterms:modified>
</cp:coreProperties>
</file>